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0bff64282d2bc/СНТ Просторы/Собрание 2023 год/"/>
    </mc:Choice>
  </mc:AlternateContent>
  <xr:revisionPtr revIDLastSave="712" documentId="8_{008FFBF7-F21E-4BA6-9F4E-96D0426CDF68}" xr6:coauthVersionLast="47" xr6:coauthVersionMax="47" xr10:uidLastSave="{3D319422-3A04-46DF-A83F-285DD30FF3B5}"/>
  <workbookProtection workbookAlgorithmName="SHA-512" workbookHashValue="lXtwGAjdKnKjRkSqYtmAO4UxMK1c0LWVlqbysyQx14LTGcOO7L3L0EZULfnAmg5il1lwzIfIokSsjCHZYl7vRA==" workbookSaltValue="h9C1ty+IngaVddle3AC2Aw==" workbookSpinCount="100000" lockStructure="1"/>
  <bookViews>
    <workbookView xWindow="-108" yWindow="-108" windowWidth="23256" windowHeight="12456" xr2:uid="{1320841B-ADF8-4035-A702-F1E5F65A92FD}"/>
  </bookViews>
  <sheets>
    <sheet name="Смета" sheetId="1" r:id="rId1"/>
  </sheets>
  <definedNames>
    <definedName name="_xlnm.Print_Area" localSheetId="0">Смета!$A$1:$I$74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1" l="1"/>
  <c r="O16" i="1"/>
  <c r="P84" i="1"/>
  <c r="F95" i="1"/>
  <c r="F86" i="1"/>
  <c r="F84" i="1"/>
  <c r="O60" i="1"/>
  <c r="O59" i="1" s="1"/>
  <c r="L88" i="1"/>
  <c r="L97" i="1" s="1"/>
  <c r="F88" i="1"/>
  <c r="P65" i="1"/>
  <c r="P64" i="1"/>
  <c r="P63" i="1"/>
  <c r="P62" i="1"/>
  <c r="P61" i="1"/>
  <c r="P60" i="1"/>
  <c r="P56" i="1"/>
  <c r="P23" i="1"/>
  <c r="F74" i="1"/>
  <c r="P52" i="1"/>
  <c r="F97" i="1" l="1"/>
  <c r="O74" i="1"/>
  <c r="P74" i="1" s="1"/>
  <c r="P75" i="1" s="1"/>
  <c r="P59" i="1"/>
  <c r="P51" i="1" l="1"/>
  <c r="P32" i="1"/>
  <c r="O28" i="1"/>
  <c r="O30" i="1" s="1"/>
  <c r="P20" i="1"/>
  <c r="O17" i="1" l="1"/>
  <c r="O67" i="1"/>
  <c r="O19" i="1"/>
  <c r="P19" i="1" s="1"/>
  <c r="G40" i="1"/>
  <c r="G39" i="1"/>
  <c r="G38" i="1"/>
  <c r="G37" i="1"/>
  <c r="P37" i="1" s="1"/>
  <c r="L37" i="1"/>
  <c r="G9" i="1"/>
  <c r="G36" i="1"/>
  <c r="P36" i="1" s="1"/>
  <c r="G35" i="1"/>
  <c r="P35" i="1" s="1"/>
  <c r="G34" i="1"/>
  <c r="P34" i="1" s="1"/>
  <c r="G33" i="1"/>
  <c r="P33" i="1" s="1"/>
  <c r="G29" i="1"/>
  <c r="P29" i="1" s="1"/>
  <c r="G28" i="1"/>
  <c r="P28" i="1" s="1"/>
  <c r="G27" i="1"/>
  <c r="P27" i="1" s="1"/>
  <c r="G22" i="1"/>
  <c r="P22" i="1" s="1"/>
  <c r="G21" i="1"/>
  <c r="P21" i="1" s="1"/>
  <c r="G17" i="1"/>
  <c r="N16" i="1"/>
  <c r="G16" i="1" s="1"/>
  <c r="P16" i="1" s="1"/>
  <c r="E48" i="1"/>
  <c r="P30" i="1" l="1"/>
  <c r="P17" i="1"/>
  <c r="K38" i="1"/>
  <c r="P38" i="1"/>
  <c r="K40" i="1"/>
  <c r="P40" i="1"/>
  <c r="K39" i="1"/>
  <c r="P39" i="1"/>
  <c r="G10" i="1"/>
  <c r="P9" i="1"/>
  <c r="O24" i="1"/>
  <c r="O41" i="1"/>
  <c r="F30" i="1"/>
  <c r="F41" i="1"/>
  <c r="E21" i="1"/>
  <c r="E18" i="1"/>
  <c r="E9" i="1"/>
  <c r="D24" i="1"/>
  <c r="G41" i="1" l="1"/>
  <c r="P41" i="1" s="1"/>
  <c r="G30" i="1"/>
  <c r="E29" i="1"/>
  <c r="E28" i="1"/>
  <c r="E27" i="1"/>
  <c r="F18" i="1"/>
  <c r="G18" i="1" s="1"/>
  <c r="P18" i="1" s="1"/>
  <c r="P24" i="1" s="1"/>
  <c r="E17" i="1"/>
  <c r="P42" i="1" l="1"/>
  <c r="G24" i="1"/>
  <c r="F24" i="1"/>
  <c r="E24" i="1"/>
  <c r="G42" i="1" l="1"/>
  <c r="G43" i="1" l="1"/>
  <c r="O42" i="1" l="1"/>
  <c r="P44" i="1" s="1"/>
  <c r="F48" i="1"/>
  <c r="E30" i="1"/>
  <c r="D30" i="1"/>
</calcChain>
</file>

<file path=xl/sharedStrings.xml><?xml version="1.0" encoding="utf-8"?>
<sst xmlns="http://schemas.openxmlformats.org/spreadsheetml/2006/main" count="272" uniqueCount="199">
  <si>
    <t>№ статьи</t>
  </si>
  <si>
    <t>Наименование статьи</t>
  </si>
  <si>
    <t>1.</t>
  </si>
  <si>
    <t>                                                                                                                   СНТ «Просторы » </t>
  </si>
  <si>
    <t xml:space="preserve">Членские взносы </t>
  </si>
  <si>
    <t>1.1.</t>
  </si>
  <si>
    <t>1.2.</t>
  </si>
  <si>
    <t>Комментарии</t>
  </si>
  <si>
    <t>Расходы в год</t>
  </si>
  <si>
    <t>1.3.</t>
  </si>
  <si>
    <t>1.4.</t>
  </si>
  <si>
    <t>Аккарицидная обработка территории</t>
  </si>
  <si>
    <t>Дератизация контейнерной площадки</t>
  </si>
  <si>
    <t>1.5.</t>
  </si>
  <si>
    <t>1.6.</t>
  </si>
  <si>
    <t>2. Расходы на содержание оборудования</t>
  </si>
  <si>
    <t>2.1.</t>
  </si>
  <si>
    <t>Приобретение шлагбаума</t>
  </si>
  <si>
    <t>Сумма в год (руб)</t>
  </si>
  <si>
    <t>Охранные услуги по договору</t>
  </si>
  <si>
    <t>Услуги банка</t>
  </si>
  <si>
    <t>Земельный налог</t>
  </si>
  <si>
    <t>Ставка  (руб. с 1 участка)</t>
  </si>
  <si>
    <t>V</t>
  </si>
  <si>
    <t>Оплата услуг управляющего по договору с самозанятым</t>
  </si>
  <si>
    <t>Оплата услуг юриста по договору с ИП</t>
  </si>
  <si>
    <t>Арендная плата за  сооружения электроэнергетики (подземные линейные сети, столбы освещения, светильники)</t>
  </si>
  <si>
    <t xml:space="preserve">Сумма в месяц </t>
  </si>
  <si>
    <t>Расходы по действующим договорам</t>
  </si>
  <si>
    <t xml:space="preserve">Сети электроснабжения в местах общего пользования, в т.ч.: </t>
  </si>
  <si>
    <t>Приобретение и монтаж  видеокамер</t>
  </si>
  <si>
    <t>тряпки, перчатки</t>
  </si>
  <si>
    <t xml:space="preserve">мётлы садовые и уличные 4 шт </t>
  </si>
  <si>
    <t>ВСЕГО по разделу</t>
  </si>
  <si>
    <t>Приобретение регистратора (для видеокамер)</t>
  </si>
  <si>
    <t>Приобретение жёсткого диска для регистратора (для видеокамер)</t>
  </si>
  <si>
    <t>Обязательные расходы на содержание (за счёт членских взносов)</t>
  </si>
  <si>
    <t xml:space="preserve">Вывоз мусора </t>
  </si>
  <si>
    <t>Уборка дорог, проездов, газонов, контейнерной площадки, детской площадки, спортивной площадки, чистка  пруда</t>
  </si>
  <si>
    <t>29,7 м3 по ставке 497,79 руб + 20% НДС по Договору со Спецавтобазой</t>
  </si>
  <si>
    <t>Из расчета  в среднем 130 руб/сотка. Общая площадь участка СНТ 37 495 кв.м</t>
  </si>
  <si>
    <t xml:space="preserve">Обслуживание электрохозяйства (КТПН и линий освещения) </t>
  </si>
  <si>
    <t xml:space="preserve">Всего по разделу </t>
  </si>
  <si>
    <t xml:space="preserve">Аренда офиса </t>
  </si>
  <si>
    <t>Рарус</t>
  </si>
  <si>
    <t xml:space="preserve">Аренда земельного участка по договору </t>
  </si>
  <si>
    <t>1.7.</t>
  </si>
  <si>
    <t>1.8.</t>
  </si>
  <si>
    <t>По действующем договору с ДПК "Родные просторы"</t>
  </si>
  <si>
    <t>По действующему договору с ДПК "Родные просторы"</t>
  </si>
  <si>
    <t>На основании среднемесячных данных в 2021 году</t>
  </si>
  <si>
    <t>2.2.</t>
  </si>
  <si>
    <t xml:space="preserve">3.  Расходы, связанные с обслуживанием и управлением СНТ </t>
  </si>
  <si>
    <t>3.1.</t>
  </si>
  <si>
    <t>3.2.</t>
  </si>
  <si>
    <t>3.3.</t>
  </si>
  <si>
    <t>Услуги круглосуточной диспетчеризации</t>
  </si>
  <si>
    <t>3.4.</t>
  </si>
  <si>
    <t>3.5.</t>
  </si>
  <si>
    <t>3.6.</t>
  </si>
  <si>
    <t>Личные кабинеты на сайте</t>
  </si>
  <si>
    <t xml:space="preserve"> 1С ТСЖ</t>
  </si>
  <si>
    <t>Наименование статьи расходования средств</t>
  </si>
  <si>
    <t>Расходы</t>
  </si>
  <si>
    <t>Из расчёта за 1 участок в собственности</t>
  </si>
  <si>
    <t>ВСЕГО доходов:</t>
  </si>
  <si>
    <t>3.7.</t>
  </si>
  <si>
    <t>3.8.</t>
  </si>
  <si>
    <t>3.9.</t>
  </si>
  <si>
    <t>Информационные знаки, указатели, в т.ч.:</t>
  </si>
  <si>
    <t>Информационный стенд на 6 карманов</t>
  </si>
  <si>
    <t xml:space="preserve">РАСХОДЫ на содержание земель общего пользования и общего имущества </t>
  </si>
  <si>
    <t>Наименование статьи расходования целевого разового взноса</t>
  </si>
  <si>
    <t>ЦЕЛЕВОЙ РАЗОВЫЙ ВЗНОС</t>
  </si>
  <si>
    <t>Знаки пожарной безопасности (пожарный щит (стенд), водный резервуар, площадка для пожарных машин, огнетушитель)</t>
  </si>
  <si>
    <t>Приобретение монитора, клавиатуры  (для видеонаблюдения)</t>
  </si>
  <si>
    <t>Ставка, руб. коп. с 1 участка единоразово</t>
  </si>
  <si>
    <t>газонокосилка-триммер и сменная леска</t>
  </si>
  <si>
    <t>7</t>
  </si>
  <si>
    <t>Приобретение инвентаря, в т.ч.:</t>
  </si>
  <si>
    <t>ИТОГО расходов за счет целевого взноса</t>
  </si>
  <si>
    <t>Непредвиденные расходы</t>
  </si>
  <si>
    <t>Схема расположения камер прилагается. Стоимость указана на момент составления сметы и может измениться как  в сторону уменьшения, так и увеличения. Приобретать лучше по ситуации - когда цены спадут</t>
  </si>
  <si>
    <t>Необходимо приобрести, т.к. ИП Луговой Е.В. Отказывается от оказания услуг в дальнейшем и новому работнику СНТ должно предоставить инвентарь.которого на данный момент в наличии нет.</t>
  </si>
  <si>
    <t>Стоимость услуг вместо  ИП Луговой Е.В., который расторгает договор об уборке территории</t>
  </si>
  <si>
    <t>Сумма</t>
  </si>
  <si>
    <t>Кол-во мес</t>
  </si>
  <si>
    <t>Колв-во в месяц</t>
  </si>
  <si>
    <t>Смена 8 часов (2000 в час)</t>
  </si>
  <si>
    <t>Уборка снега</t>
  </si>
  <si>
    <t>РАСХОДЫ ЗА СЧЕТ ЦЕЛЕВОГО РАЗОВОГО ВЗНОСА (руб.коп.)</t>
  </si>
  <si>
    <t>Ставка  (рублей с 1 участка в месяц)</t>
  </si>
  <si>
    <t xml:space="preserve">Уборка механизированная и вывоз снега </t>
  </si>
  <si>
    <t xml:space="preserve">Расчёт на основании предложенного КП: 2 мес*2 смен в месяц (16 000 рублей за 1 смену 8 часов) </t>
  </si>
  <si>
    <t xml:space="preserve">остаток лимита </t>
  </si>
  <si>
    <t>Сомато</t>
  </si>
  <si>
    <t>кора</t>
  </si>
  <si>
    <t>сачок для пруда с телескопической ручкой</t>
  </si>
  <si>
    <t xml:space="preserve">известняк (удобрение), пакеты для мусора, перчатки, леска для триммера, </t>
  </si>
  <si>
    <t>Мой подотчет (уточнить, чек у бухгалтера)</t>
  </si>
  <si>
    <t>песок</t>
  </si>
  <si>
    <t>СКБ Контур</t>
  </si>
  <si>
    <t xml:space="preserve">ещё подотчет </t>
  </si>
  <si>
    <t>Переменная часть арендной платы за сети электроэнергетики в размере стоимости потребленной электроэнергии</t>
  </si>
  <si>
    <t>газонокосилка бензиновая HUSQVARNA LC 151S</t>
  </si>
  <si>
    <t>Тачка садовая Вихрь</t>
  </si>
  <si>
    <t>Удлинитель на катушке Glanzen EB-50-010 КГ 3*25 50 м</t>
  </si>
  <si>
    <t>Мотокоса HUSQVARNA 122С, леска триммерная  6 шт</t>
  </si>
  <si>
    <t>Ведра</t>
  </si>
  <si>
    <t xml:space="preserve">          Утвержден на общем собрании </t>
  </si>
  <si>
    <t>                                                             Протокол №____   от « ___» __________ 2023 г.  </t>
  </si>
  <si>
    <t>Дефицит (-) / Профицит(+)</t>
  </si>
  <si>
    <t xml:space="preserve">Фактические расходы </t>
  </si>
  <si>
    <t>руб. коп.</t>
  </si>
  <si>
    <t>Плановая сумма за период  (руб)</t>
  </si>
  <si>
    <t xml:space="preserve">ОТЧЕТ ОБ ИСПОЛНЕНИИ ПРИХОДНО - РАСХОДНОЙ СМЕТЫ В 2022 гг.  </t>
  </si>
  <si>
    <t>Фактические расходы</t>
  </si>
  <si>
    <t>ДОХОДЫ (поступления от собственников земельных участков)</t>
  </si>
  <si>
    <t xml:space="preserve">Экономия за счет подписания дополнительного соглашения об изменении условий  договора аренды земель общего пользования и отказа от постоянной части платы </t>
  </si>
  <si>
    <t>Услуги за ноябрь и декабрь 2022 года перенесены для оплаты на 2023 год</t>
  </si>
  <si>
    <t>Дефицит(-) / Профицит(+)</t>
  </si>
  <si>
    <t>Экономия за счет подписания договора субаренды напрямую с собственником сетей. Долг за предыдущие периоды не оплачен</t>
  </si>
  <si>
    <t>Экономия за счет оплаты по фактическому потреблению</t>
  </si>
  <si>
    <t>Увеличение стоимости услуги по вывозу за счет увеличения фактического объёма мусора</t>
  </si>
  <si>
    <t>ИТОГО ФАКТИЧЕСКИХ РАСХОДОВ ПО СМЕТЕ</t>
  </si>
  <si>
    <t>Бухгалтерские услуги, в т.ч. налоги</t>
  </si>
  <si>
    <t xml:space="preserve">За период фактического доступа к расчетному счету </t>
  </si>
  <si>
    <t>Сумма в месяц</t>
  </si>
  <si>
    <t>1. Работы и услуги по содержанию мест общего пользования</t>
  </si>
  <si>
    <t>Экономия за счет подключения к услуге, начиная с октября 2022 года</t>
  </si>
  <si>
    <t>Экономия за счет расторжения договора абонентского обслуживания  с ООО Гарант-строй. Задолженность за предыдущие периоды погашена</t>
  </si>
  <si>
    <t>Экономия за счет отказа от услуги</t>
  </si>
  <si>
    <t xml:space="preserve">ДОХОДЫ И РАСХОДЫ за счёт целевого РАЗОВОГО взноса </t>
  </si>
  <si>
    <t>Фактически приобретено и смонтировано</t>
  </si>
  <si>
    <t>wi-fi камеры 4 штуки, ретранслятор, провод, крепежный материал, гофра</t>
  </si>
  <si>
    <t>Расходы по приобретению и монтажу оставшегося количества камер, оборудования и расходных материалов перенесены на 2023 год</t>
  </si>
  <si>
    <t>1 шт</t>
  </si>
  <si>
    <t>перчатки 3 пары</t>
  </si>
  <si>
    <t>0 штук</t>
  </si>
  <si>
    <t>Приобретено с целью соблюдения законодательства в части обеспечения пожарной безопасности</t>
  </si>
  <si>
    <t>Лопаты  2 шт</t>
  </si>
  <si>
    <t>За счет экономии бюджета приобретен дополнительный  инвентарь (перечень прилагается), в связи с отсутствием либо выходом из строя предоставленного</t>
  </si>
  <si>
    <t xml:space="preserve">Профицит с учетом резерва на непредвиденные расходы </t>
  </si>
  <si>
    <t>Профицит бюджета по целевым взносам</t>
  </si>
  <si>
    <t>Наименование позиции</t>
  </si>
  <si>
    <t>Сумма расходов</t>
  </si>
  <si>
    <t>руб коп.</t>
  </si>
  <si>
    <t>№ п/п</t>
  </si>
  <si>
    <t>За счет экономии была погашена часть задолженности за предыдущие периоды (документально подтвержденная  и признанная ), а также были произведены расходы с целью содержания и обслуживания СНТ "Просторы", в том числе:</t>
  </si>
  <si>
    <t xml:space="preserve">Экономия за счет подписания дополнительного  ооглашения об изменении условий договора </t>
  </si>
  <si>
    <t>Экономия за счет подписания дополнительного соглашения о расторжении  договора аренды офиса. Задолженность за предыдущие периоды погашена</t>
  </si>
  <si>
    <t xml:space="preserve">Остаток неоплаченных услуг за декабрь 2022 года </t>
  </si>
  <si>
    <t xml:space="preserve">Сачок для бассейна с телескопической ручкой </t>
  </si>
  <si>
    <t>Насос дренажный Вихрь</t>
  </si>
  <si>
    <t xml:space="preserve">Шланг для полива </t>
  </si>
  <si>
    <t>тележка для шланга</t>
  </si>
  <si>
    <t>Масло для 4-тактных и 2-тактных бензиновых двигателей</t>
  </si>
  <si>
    <t xml:space="preserve">Рыхлитель ручной </t>
  </si>
  <si>
    <t>Известняковое доломитовое удобрение, кора</t>
  </si>
  <si>
    <t xml:space="preserve">Пакеты мусорные </t>
  </si>
  <si>
    <t>Канистра пластиковая</t>
  </si>
  <si>
    <t>бензин</t>
  </si>
  <si>
    <t>Замок навесной</t>
  </si>
  <si>
    <t>Лента клейкая малярная</t>
  </si>
  <si>
    <t xml:space="preserve">Щит пожарный 3 шт (в комплекте в каждом лом, багор, ведро, лопата совковая и штыковая, топор, огнетушитель), ящик для песка 3 шт, знак "Пожарный водоем", знак Указатель расстояния до ПВ и ПЩ 4 шт, Знак Песок  </t>
  </si>
  <si>
    <t>Итого</t>
  </si>
  <si>
    <t>Столбик сигнальный и дорожный с доставкой 55 штук</t>
  </si>
  <si>
    <t>Песок для песочницы и пожарных ящиков</t>
  </si>
  <si>
    <t>Услуги трактора МТЗ (щетка, 22 ч в ноябре и 22 ч в декабре).  Сумма за декабрь 2022 года в размере 28 600 руб. оплачена в январе 2023 года</t>
  </si>
  <si>
    <t>Экономия за счет досрочного расторжения договора с разнорабочим</t>
  </si>
  <si>
    <t>Светильник садово-парковый для пруда, 3 шт</t>
  </si>
  <si>
    <t>Муфта, дождеватели ротационные, коннекторы, тройники для поливочной системы</t>
  </si>
  <si>
    <t>Шланги для полива (25 м и 50 м)</t>
  </si>
  <si>
    <t>Масло для 4-тактных и 2-тактных бензиновых двигателей, свеча</t>
  </si>
  <si>
    <t>Лампы светодиодные для фонарных столбов, 20 шт</t>
  </si>
  <si>
    <t>из них расходы на видеонаблюдение в сумме 253 169,20 руб. перенесены на 2023 год</t>
  </si>
  <si>
    <t>1 штук</t>
  </si>
  <si>
    <t>Скребок для снега, ледоруб</t>
  </si>
  <si>
    <t xml:space="preserve"> Расходы на приобретение инвентаря (за счет экономии)</t>
  </si>
  <si>
    <t>Расходы на благоустройство (за счет экономии)</t>
  </si>
  <si>
    <t>руб.коп</t>
  </si>
  <si>
    <t>Работы не проводились</t>
  </si>
  <si>
    <r>
      <t xml:space="preserve">Согласно требованиям санитарных правил. </t>
    </r>
    <r>
      <rPr>
        <b/>
        <sz val="11"/>
        <color theme="1"/>
        <rFont val="Times New Roman"/>
        <family val="1"/>
        <charset val="204"/>
      </rPr>
      <t>Не было этой статьи расходов в предыдущие периоды</t>
    </r>
  </si>
  <si>
    <r>
      <t xml:space="preserve">По действующему договору с ИП Луговой. </t>
    </r>
    <r>
      <rPr>
        <b/>
        <sz val="11"/>
        <color theme="1"/>
        <rFont val="Times New Roman"/>
        <family val="1"/>
        <charset val="204"/>
      </rPr>
      <t>Стоимость услуг увеличена на 14 200 рублей в месяц ( с 135 800 руб/мес)  по представленнмоу КП</t>
    </r>
  </si>
  <si>
    <r>
      <t xml:space="preserve">По ставке 0,3% от кадастровой стоимости земельного участка. </t>
    </r>
    <r>
      <rPr>
        <b/>
        <sz val="11"/>
        <color theme="1"/>
        <rFont val="Times New Roman"/>
        <family val="1"/>
        <charset val="204"/>
      </rPr>
      <t>Сумма налога не была учтена  в предыдущей смете</t>
    </r>
  </si>
  <si>
    <r>
      <t xml:space="preserve">Услуги электрика по договору с ООО "Гарант-строй". </t>
    </r>
    <r>
      <rPr>
        <b/>
        <sz val="11"/>
        <color theme="1"/>
        <rFont val="Times New Roman"/>
        <family val="1"/>
        <charset val="204"/>
      </rPr>
      <t>Расходы увеличены на 6 000 рублей в месяц (с 14 000 рублей) по представленному КП</t>
    </r>
  </si>
  <si>
    <r>
      <t xml:space="preserve">Налоговые отчисления осуществляются управляющим самостоятельно и за свой счёт. </t>
    </r>
    <r>
      <rPr>
        <b/>
        <sz val="11"/>
        <color theme="1"/>
        <rFont val="Times New Roman"/>
        <family val="1"/>
        <charset val="204"/>
      </rPr>
      <t>Не было в предыдушей смете</t>
    </r>
  </si>
  <si>
    <r>
      <t xml:space="preserve">Налоговые отчисления осуществляются юристом самостоятельно и за свой счёт. </t>
    </r>
    <r>
      <rPr>
        <b/>
        <sz val="11"/>
        <color theme="1"/>
        <rFont val="Times New Roman"/>
        <family val="1"/>
        <charset val="204"/>
      </rPr>
      <t xml:space="preserve">Расходы на юриста не были учтены в предыдущей смете </t>
    </r>
  </si>
  <si>
    <r>
      <t xml:space="preserve">Круглосуточная диспетчерская поддержка по всем вопросам, массовая и точечная рассылка объявлений. </t>
    </r>
    <r>
      <rPr>
        <b/>
        <sz val="11"/>
        <color theme="1"/>
        <rFont val="Times New Roman"/>
        <family val="1"/>
        <charset val="204"/>
      </rPr>
      <t>Не было статьи расходов, но она в перспективе исключит расходы на содержание личных кабинетов  и услуги ООО Рарус</t>
    </r>
  </si>
  <si>
    <r>
      <t xml:space="preserve">По договору аренды. </t>
    </r>
    <r>
      <rPr>
        <b/>
        <sz val="11"/>
        <color theme="1"/>
        <rFont val="Times New Roman"/>
        <family val="1"/>
        <charset val="204"/>
      </rPr>
      <t>Стоимость увеличена на 10 000 рублей в месяц (с 15 000 руб/мес) по представленному КП</t>
    </r>
    <r>
      <rPr>
        <sz val="11"/>
        <color theme="1"/>
        <rFont val="Times New Roman"/>
        <family val="1"/>
        <charset val="204"/>
      </rPr>
      <t>. В стоимость включено: аренда офиса с мебелью, интернет, сопровождение личных кабинетов на сайте</t>
    </r>
  </si>
  <si>
    <r>
      <t xml:space="preserve">По договору с банком. </t>
    </r>
    <r>
      <rPr>
        <b/>
        <sz val="11"/>
        <color theme="1"/>
        <rFont val="Times New Roman"/>
        <family val="1"/>
        <charset val="204"/>
      </rPr>
      <t>По ходу работы будем рассматривать вопрос об изменения тарифа с целью экономии</t>
    </r>
  </si>
  <si>
    <r>
      <t xml:space="preserve">Стоимость лицензии. </t>
    </r>
    <r>
      <rPr>
        <b/>
        <sz val="11"/>
        <color theme="1"/>
        <rFont val="Times New Roman"/>
        <family val="1"/>
        <charset val="204"/>
      </rPr>
      <t>Будем рассматривать вопрос об отказе от этих расходов</t>
    </r>
  </si>
  <si>
    <r>
      <t xml:space="preserve">Стоимость лицензии за загрузку и выгрузку сумм оплат и начислений. </t>
    </r>
    <r>
      <rPr>
        <b/>
        <sz val="11"/>
        <color theme="1"/>
        <rFont val="Times New Roman"/>
        <family val="1"/>
        <charset val="204"/>
      </rPr>
      <t>Будем рассматривать вопрос об отказе от этих расходов</t>
    </r>
  </si>
  <si>
    <r>
      <t xml:space="preserve">Сопровождение 1С. </t>
    </r>
    <r>
      <rPr>
        <b/>
        <sz val="11"/>
        <color theme="1"/>
        <rFont val="Times New Roman"/>
        <family val="1"/>
        <charset val="204"/>
      </rPr>
      <t>Будем рассматривать вопрос об отказе от этих расходов</t>
    </r>
  </si>
  <si>
    <t xml:space="preserve">Бензин </t>
  </si>
  <si>
    <t>Фактические доходы</t>
  </si>
  <si>
    <t>Источник финансирвоания (членские взносы)</t>
  </si>
  <si>
    <t>4,5 га</t>
  </si>
  <si>
    <t>Произведен ремонт действующегоза счет ЧОП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</si>
</sst>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4" fontId="2" fillId="0" borderId="13" xfId="0" applyNumberFormat="1" applyFont="1" applyBorder="1" applyAlignment="1">
      <alignment wrapText="1"/>
    </xf>
    <xf numFmtId="0" fontId="3" fillId="0" borderId="40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4" fontId="2" fillId="0" borderId="13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0" xfId="0" applyFont="1"/>
    <xf numFmtId="4" fontId="4" fillId="0" borderId="13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6" fillId="0" borderId="2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right" wrapText="1"/>
    </xf>
    <xf numFmtId="3" fontId="2" fillId="0" borderId="0" xfId="0" applyNumberFormat="1" applyFont="1" applyAlignment="1">
      <alignment horizontal="center"/>
    </xf>
    <xf numFmtId="4" fontId="6" fillId="0" borderId="14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3" fontId="2" fillId="0" borderId="0" xfId="0" applyNumberFormat="1" applyFont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wrapText="1"/>
    </xf>
    <xf numFmtId="0" fontId="3" fillId="0" borderId="24" xfId="0" applyFont="1" applyBorder="1" applyAlignment="1">
      <alignment horizontal="center" wrapText="1"/>
    </xf>
    <xf numFmtId="0" fontId="2" fillId="0" borderId="24" xfId="0" applyFont="1" applyBorder="1" applyAlignment="1">
      <alignment horizontal="right" wrapText="1"/>
    </xf>
    <xf numFmtId="4" fontId="2" fillId="0" borderId="24" xfId="0" applyNumberFormat="1" applyFont="1" applyBorder="1" applyAlignment="1">
      <alignment horizontal="center" wrapText="1"/>
    </xf>
    <xf numFmtId="4" fontId="2" fillId="0" borderId="24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/>
    <xf numFmtId="49" fontId="2" fillId="0" borderId="29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right" wrapText="1"/>
    </xf>
    <xf numFmtId="164" fontId="2" fillId="0" borderId="16" xfId="0" applyNumberFormat="1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0" borderId="16" xfId="0" applyFont="1" applyBorder="1" applyAlignment="1">
      <alignment horizontal="right" wrapText="1"/>
    </xf>
    <xf numFmtId="4" fontId="2" fillId="0" borderId="16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wrapText="1"/>
    </xf>
    <xf numFmtId="4" fontId="7" fillId="0" borderId="13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right" wrapText="1"/>
    </xf>
    <xf numFmtId="3" fontId="3" fillId="0" borderId="12" xfId="0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wrapText="1"/>
    </xf>
    <xf numFmtId="4" fontId="4" fillId="0" borderId="13" xfId="0" applyNumberFormat="1" applyFont="1" applyBorder="1"/>
    <xf numFmtId="4" fontId="2" fillId="0" borderId="13" xfId="0" applyNumberFormat="1" applyFont="1" applyBorder="1"/>
    <xf numFmtId="0" fontId="2" fillId="0" borderId="24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center" wrapText="1"/>
    </xf>
    <xf numFmtId="0" fontId="2" fillId="0" borderId="41" xfId="0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0" fontId="2" fillId="0" borderId="42" xfId="0" applyFont="1" applyBorder="1"/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0" fontId="2" fillId="0" borderId="45" xfId="0" applyFont="1" applyBorder="1"/>
    <xf numFmtId="4" fontId="6" fillId="0" borderId="16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4" fillId="0" borderId="24" xfId="0" applyFont="1" applyBorder="1"/>
    <xf numFmtId="4" fontId="4" fillId="0" borderId="22" xfId="0" applyNumberFormat="1" applyFont="1" applyBorder="1"/>
    <xf numFmtId="0" fontId="4" fillId="0" borderId="30" xfId="0" applyFont="1" applyBorder="1" applyAlignment="1">
      <alignment wrapText="1"/>
    </xf>
    <xf numFmtId="4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wrapText="1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164" fontId="4" fillId="0" borderId="24" xfId="0" applyNumberFormat="1" applyFont="1" applyBorder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right" wrapText="1"/>
    </xf>
    <xf numFmtId="0" fontId="9" fillId="0" borderId="24" xfId="0" applyFont="1" applyBorder="1" applyAlignment="1">
      <alignment horizontal="right" wrapText="1"/>
    </xf>
    <xf numFmtId="1" fontId="3" fillId="0" borderId="24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right" wrapText="1"/>
    </xf>
    <xf numFmtId="0" fontId="3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1" fontId="3" fillId="0" borderId="14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/>
    <xf numFmtId="0" fontId="2" fillId="0" borderId="13" xfId="0" applyFont="1" applyBorder="1"/>
    <xf numFmtId="0" fontId="2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24" xfId="0" applyFont="1" applyBorder="1"/>
    <xf numFmtId="4" fontId="6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 wrapText="1"/>
    </xf>
    <xf numFmtId="4" fontId="4" fillId="0" borderId="13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1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4" fillId="0" borderId="24" xfId="0" applyNumberFormat="1" applyFont="1" applyBorder="1"/>
    <xf numFmtId="0" fontId="2" fillId="0" borderId="24" xfId="0" applyFont="1" applyBorder="1"/>
    <xf numFmtId="0" fontId="2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6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46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6" fillId="0" borderId="48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" fontId="2" fillId="0" borderId="50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6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4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45" xfId="0" applyFont="1" applyBorder="1" applyAlignment="1">
      <alignment horizontal="right" wrapText="1"/>
    </xf>
    <xf numFmtId="4" fontId="2" fillId="0" borderId="13" xfId="0" applyNumberFormat="1" applyFont="1" applyBorder="1" applyAlignment="1">
      <alignment wrapText="1"/>
    </xf>
    <xf numFmtId="0" fontId="2" fillId="0" borderId="19" xfId="0" applyFont="1" applyBorder="1" applyAlignment="1">
      <alignment horizontal="left" wrapText="1"/>
    </xf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11" fillId="0" borderId="47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9" fillId="0" borderId="13" xfId="0" applyFont="1" applyBorder="1"/>
    <xf numFmtId="0" fontId="12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wrapText="1"/>
    </xf>
    <xf numFmtId="0" fontId="9" fillId="0" borderId="0" xfId="0" applyFont="1"/>
    <xf numFmtId="4" fontId="9" fillId="0" borderId="13" xfId="0" applyNumberFormat="1" applyFont="1" applyBorder="1" applyAlignment="1">
      <alignment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65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165" fontId="12" fillId="0" borderId="13" xfId="0" applyNumberFormat="1" applyFont="1" applyBorder="1" applyAlignment="1">
      <alignment vertical="center" wrapText="1"/>
    </xf>
    <xf numFmtId="0" fontId="9" fillId="0" borderId="24" xfId="0" applyFont="1" applyBorder="1"/>
    <xf numFmtId="0" fontId="12" fillId="0" borderId="22" xfId="0" applyFont="1" applyBorder="1" applyAlignment="1">
      <alignment vertical="center" wrapText="1"/>
    </xf>
    <xf numFmtId="165" fontId="12" fillId="0" borderId="24" xfId="0" applyNumberFormat="1" applyFont="1" applyBorder="1" applyAlignment="1">
      <alignment vertical="center" wrapText="1"/>
    </xf>
    <xf numFmtId="4" fontId="9" fillId="0" borderId="24" xfId="0" applyNumberFormat="1" applyFont="1" applyBorder="1" applyAlignment="1">
      <alignment wrapText="1"/>
    </xf>
    <xf numFmtId="0" fontId="9" fillId="0" borderId="14" xfId="0" applyFont="1" applyBorder="1"/>
    <xf numFmtId="0" fontId="13" fillId="0" borderId="19" xfId="0" applyFont="1" applyBorder="1"/>
    <xf numFmtId="0" fontId="13" fillId="0" borderId="15" xfId="0" applyFont="1" applyBorder="1"/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wrapText="1"/>
    </xf>
    <xf numFmtId="0" fontId="12" fillId="0" borderId="1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1DDA-C078-4390-87FC-5B4A60001CAF}">
  <sheetPr>
    <pageSetUpPr fitToPage="1"/>
  </sheetPr>
  <dimension ref="A1:S98"/>
  <sheetViews>
    <sheetView tabSelected="1" topLeftCell="A4" zoomScale="89" zoomScaleNormal="89" zoomScaleSheetLayoutView="49" workbookViewId="0">
      <selection activeCell="O87" sqref="O87"/>
    </sheetView>
  </sheetViews>
  <sheetFormatPr defaultRowHeight="42.6" customHeight="1" x14ac:dyDescent="0.25"/>
  <cols>
    <col min="1" max="2" width="8.88671875" style="2"/>
    <col min="3" max="3" width="50" style="2" customWidth="1"/>
    <col min="4" max="4" width="27.77734375" style="2" hidden="1" customWidth="1"/>
    <col min="5" max="5" width="31.21875" style="2" hidden="1" customWidth="1"/>
    <col min="6" max="6" width="16.21875" style="2" customWidth="1"/>
    <col min="7" max="7" width="16.44140625" style="2" customWidth="1"/>
    <col min="8" max="8" width="13.109375" style="2" customWidth="1"/>
    <col min="9" max="9" width="74.6640625" style="5" hidden="1" customWidth="1"/>
    <col min="10" max="10" width="18" style="2" hidden="1" customWidth="1"/>
    <col min="11" max="11" width="12.77734375" style="2" hidden="1" customWidth="1"/>
    <col min="12" max="13" width="14.5546875" style="2" hidden="1" customWidth="1"/>
    <col min="14" max="14" width="12.44140625" style="2" hidden="1" customWidth="1"/>
    <col min="15" max="15" width="26.21875" style="4" customWidth="1"/>
    <col min="16" max="16" width="23.33203125" style="5" customWidth="1"/>
    <col min="17" max="17" width="27.33203125" style="5" customWidth="1"/>
    <col min="18" max="18" width="34.44140625" style="5" customWidth="1"/>
    <col min="19" max="19" width="8.88671875" style="5"/>
    <col min="20" max="16384" width="8.88671875" style="2"/>
  </cols>
  <sheetData>
    <row r="1" spans="1:19" ht="12" hidden="1" customHeight="1" x14ac:dyDescent="0.25">
      <c r="A1" s="1"/>
      <c r="F1" s="138" t="s">
        <v>109</v>
      </c>
      <c r="G1" s="138"/>
      <c r="H1" s="138"/>
      <c r="I1" s="138"/>
    </row>
    <row r="2" spans="1:19" ht="18" hidden="1" customHeight="1" x14ac:dyDescent="0.25">
      <c r="A2" s="1"/>
      <c r="F2" s="138" t="s">
        <v>3</v>
      </c>
      <c r="G2" s="138"/>
      <c r="H2" s="138"/>
      <c r="I2" s="138"/>
      <c r="K2" s="2" t="s">
        <v>86</v>
      </c>
    </row>
    <row r="3" spans="1:19" ht="22.2" hidden="1" customHeight="1" x14ac:dyDescent="0.25">
      <c r="A3" s="1"/>
      <c r="F3" s="138" t="s">
        <v>110</v>
      </c>
      <c r="G3" s="138"/>
      <c r="H3" s="138"/>
      <c r="I3" s="138"/>
      <c r="K3" s="2">
        <v>8</v>
      </c>
    </row>
    <row r="4" spans="1:19" ht="4.8" customHeight="1" x14ac:dyDescent="0.25"/>
    <row r="5" spans="1:19" ht="34.200000000000003" customHeight="1" x14ac:dyDescent="0.25">
      <c r="A5" s="176" t="s">
        <v>115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6" t="s">
        <v>113</v>
      </c>
    </row>
    <row r="6" spans="1:19" s="12" customFormat="1" ht="41.4" x14ac:dyDescent="0.3">
      <c r="A6" s="7" t="s">
        <v>0</v>
      </c>
      <c r="B6" s="196" t="s">
        <v>1</v>
      </c>
      <c r="C6" s="197"/>
      <c r="D6" s="9" t="s">
        <v>22</v>
      </c>
      <c r="E6" s="8" t="s">
        <v>18</v>
      </c>
      <c r="F6" s="8" t="s">
        <v>91</v>
      </c>
      <c r="G6" s="168" t="s">
        <v>114</v>
      </c>
      <c r="H6" s="195"/>
      <c r="I6" s="10" t="s">
        <v>7</v>
      </c>
      <c r="O6" s="13" t="s">
        <v>195</v>
      </c>
      <c r="P6" s="13" t="s">
        <v>111</v>
      </c>
      <c r="Q6" s="13" t="s">
        <v>7</v>
      </c>
      <c r="R6" s="14"/>
      <c r="S6" s="14"/>
    </row>
    <row r="7" spans="1:19" ht="13.8" x14ac:dyDescent="0.25">
      <c r="A7" s="205" t="s">
        <v>117</v>
      </c>
      <c r="B7" s="206"/>
      <c r="C7" s="206"/>
      <c r="D7" s="206"/>
      <c r="E7" s="207"/>
      <c r="F7" s="207"/>
      <c r="G7" s="207"/>
      <c r="H7" s="207"/>
      <c r="I7" s="207"/>
      <c r="J7" s="177"/>
      <c r="K7" s="177"/>
      <c r="L7" s="177"/>
      <c r="M7" s="177"/>
      <c r="N7" s="177"/>
      <c r="O7" s="177"/>
      <c r="P7" s="177"/>
      <c r="Q7" s="177"/>
    </row>
    <row r="8" spans="1:19" ht="42.6" hidden="1" customHeight="1" x14ac:dyDescent="0.25">
      <c r="A8" s="15"/>
      <c r="B8" s="16"/>
      <c r="C8" s="16"/>
      <c r="D8" s="17"/>
      <c r="E8" s="16"/>
      <c r="F8" s="18"/>
      <c r="G8" s="202"/>
      <c r="H8" s="149"/>
      <c r="I8" s="20"/>
      <c r="O8" s="21"/>
      <c r="P8" s="21"/>
    </row>
    <row r="9" spans="1:19" ht="42.6" customHeight="1" x14ac:dyDescent="0.25">
      <c r="A9" s="22" t="s">
        <v>2</v>
      </c>
      <c r="B9" s="198" t="s">
        <v>4</v>
      </c>
      <c r="C9" s="199"/>
      <c r="D9" s="23">
        <v>5000</v>
      </c>
      <c r="E9" s="24">
        <f>D9*66*12</f>
        <v>3960000</v>
      </c>
      <c r="F9" s="25">
        <v>6500</v>
      </c>
      <c r="G9" s="200">
        <f>F9*$K$3*65</f>
        <v>3380000</v>
      </c>
      <c r="H9" s="201"/>
      <c r="I9" s="20" t="s">
        <v>64</v>
      </c>
      <c r="O9" s="21">
        <v>3035806.41</v>
      </c>
      <c r="P9" s="26">
        <f>O9-G9</f>
        <v>-344193.58999999985</v>
      </c>
      <c r="Q9" s="20"/>
    </row>
    <row r="10" spans="1:19" s="31" customFormat="1" ht="13.8" x14ac:dyDescent="0.25">
      <c r="A10" s="204" t="s">
        <v>65</v>
      </c>
      <c r="B10" s="204"/>
      <c r="C10" s="204"/>
      <c r="D10" s="29"/>
      <c r="E10" s="29"/>
      <c r="F10" s="26"/>
      <c r="G10" s="203">
        <f>G9</f>
        <v>3380000</v>
      </c>
      <c r="H10" s="203"/>
      <c r="I10" s="30"/>
      <c r="O10" s="32"/>
      <c r="P10" s="26"/>
      <c r="Q10" s="30"/>
      <c r="R10" s="33"/>
      <c r="S10" s="33"/>
    </row>
    <row r="11" spans="1:19" ht="24.6" customHeight="1" x14ac:dyDescent="0.3">
      <c r="A11" s="139" t="s">
        <v>71</v>
      </c>
      <c r="B11" s="140"/>
      <c r="C11" s="140"/>
      <c r="D11" s="140"/>
      <c r="E11" s="141"/>
      <c r="F11" s="142"/>
      <c r="G11" s="142"/>
      <c r="H11" s="142"/>
      <c r="I11" s="142"/>
      <c r="J11" s="143"/>
      <c r="K11" s="143"/>
      <c r="L11" s="143"/>
      <c r="M11" s="143"/>
      <c r="N11" s="143"/>
      <c r="O11" s="143"/>
      <c r="P11" s="143"/>
      <c r="Q11" s="135" t="s">
        <v>113</v>
      </c>
    </row>
    <row r="12" spans="1:19" ht="13.8" x14ac:dyDescent="0.25">
      <c r="A12" s="237" t="s">
        <v>128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9"/>
    </row>
    <row r="13" spans="1:19" ht="13.8" x14ac:dyDescent="0.25">
      <c r="A13" s="136"/>
      <c r="B13" s="252" t="s">
        <v>62</v>
      </c>
      <c r="C13" s="253"/>
      <c r="D13" s="257" t="s">
        <v>28</v>
      </c>
      <c r="E13" s="258"/>
      <c r="F13" s="190" t="s">
        <v>63</v>
      </c>
      <c r="G13" s="259"/>
      <c r="H13" s="136" t="s">
        <v>196</v>
      </c>
      <c r="I13" s="168" t="s">
        <v>7</v>
      </c>
      <c r="J13" s="35"/>
      <c r="K13" s="35"/>
      <c r="L13" s="35"/>
      <c r="M13" s="35"/>
      <c r="N13" s="35"/>
      <c r="O13" s="214" t="s">
        <v>112</v>
      </c>
      <c r="P13" s="214" t="s">
        <v>111</v>
      </c>
      <c r="Q13" s="214" t="s">
        <v>7</v>
      </c>
    </row>
    <row r="14" spans="1:19" ht="69" x14ac:dyDescent="0.25">
      <c r="A14" s="215"/>
      <c r="B14" s="254"/>
      <c r="C14" s="255"/>
      <c r="D14" s="13" t="s">
        <v>27</v>
      </c>
      <c r="E14" s="13" t="s">
        <v>8</v>
      </c>
      <c r="F14" s="13" t="s">
        <v>127</v>
      </c>
      <c r="G14" s="13" t="s">
        <v>126</v>
      </c>
      <c r="H14" s="137"/>
      <c r="I14" s="256"/>
      <c r="J14" s="35"/>
      <c r="K14" s="35"/>
      <c r="L14" s="35"/>
      <c r="M14" s="35"/>
      <c r="N14" s="35"/>
      <c r="O14" s="215"/>
      <c r="P14" s="215"/>
      <c r="Q14" s="215"/>
      <c r="R14" s="37"/>
    </row>
    <row r="15" spans="1:19" ht="27.6" x14ac:dyDescent="0.25">
      <c r="A15" s="237" t="s">
        <v>36</v>
      </c>
      <c r="B15" s="251"/>
      <c r="C15" s="251"/>
      <c r="D15" s="251"/>
      <c r="E15" s="251"/>
      <c r="F15" s="251"/>
      <c r="G15" s="251"/>
      <c r="H15" s="186"/>
      <c r="I15" s="187"/>
      <c r="J15" s="14" t="s">
        <v>89</v>
      </c>
      <c r="K15" s="14" t="s">
        <v>86</v>
      </c>
      <c r="L15" s="14" t="s">
        <v>87</v>
      </c>
      <c r="M15" s="14" t="s">
        <v>88</v>
      </c>
      <c r="N15" s="14" t="s">
        <v>85</v>
      </c>
    </row>
    <row r="16" spans="1:19" ht="66" x14ac:dyDescent="0.25">
      <c r="A16" s="38" t="s">
        <v>5</v>
      </c>
      <c r="B16" s="208" t="s">
        <v>92</v>
      </c>
      <c r="C16" s="209"/>
      <c r="D16" s="39">
        <v>0</v>
      </c>
      <c r="E16" s="39">
        <v>181000</v>
      </c>
      <c r="F16" s="40"/>
      <c r="G16" s="40">
        <f>N16</f>
        <v>64000</v>
      </c>
      <c r="H16" s="41" t="s">
        <v>23</v>
      </c>
      <c r="I16" s="42" t="s">
        <v>93</v>
      </c>
      <c r="K16" s="43">
        <v>2</v>
      </c>
      <c r="L16" s="43">
        <v>2</v>
      </c>
      <c r="M16" s="43">
        <v>16000</v>
      </c>
      <c r="N16" s="43">
        <f>K16*L16*M16</f>
        <v>64000</v>
      </c>
      <c r="O16" s="28">
        <f>28600+28600</f>
        <v>57200</v>
      </c>
      <c r="P16" s="21">
        <f t="shared" ref="P16:P23" si="0">G16-O16</f>
        <v>6800</v>
      </c>
      <c r="Q16" s="129" t="s">
        <v>168</v>
      </c>
    </row>
    <row r="17" spans="1:17" ht="39.6" x14ac:dyDescent="0.25">
      <c r="A17" s="38" t="s">
        <v>6</v>
      </c>
      <c r="B17" s="208" t="s">
        <v>38</v>
      </c>
      <c r="C17" s="209"/>
      <c r="D17" s="39">
        <v>28000</v>
      </c>
      <c r="E17" s="39">
        <f>D17*3</f>
        <v>84000</v>
      </c>
      <c r="F17" s="44">
        <v>35000</v>
      </c>
      <c r="G17" s="40">
        <f>F17*$K$3</f>
        <v>280000</v>
      </c>
      <c r="H17" s="41" t="s">
        <v>23</v>
      </c>
      <c r="I17" s="45" t="s">
        <v>84</v>
      </c>
      <c r="K17" s="46"/>
      <c r="L17" s="46"/>
      <c r="M17" s="46"/>
      <c r="N17" s="46"/>
      <c r="O17" s="28">
        <f>35000+35000+22580.65+35000+35000+35000+70000+9000</f>
        <v>276580.65000000002</v>
      </c>
      <c r="P17" s="21">
        <f t="shared" si="0"/>
        <v>3419.3499999999767</v>
      </c>
      <c r="Q17" s="129" t="s">
        <v>169</v>
      </c>
    </row>
    <row r="18" spans="1:17" ht="39.6" x14ac:dyDescent="0.25">
      <c r="A18" s="11" t="s">
        <v>9</v>
      </c>
      <c r="B18" s="154" t="s">
        <v>37</v>
      </c>
      <c r="C18" s="154"/>
      <c r="D18" s="39">
        <v>17741.23</v>
      </c>
      <c r="E18" s="39">
        <f>D18*3</f>
        <v>53223.69</v>
      </c>
      <c r="F18" s="40">
        <f>17741.23</f>
        <v>17741.23</v>
      </c>
      <c r="G18" s="40">
        <f>F18*$K$3</f>
        <v>141929.84</v>
      </c>
      <c r="H18" s="41" t="s">
        <v>23</v>
      </c>
      <c r="I18" s="45" t="s">
        <v>39</v>
      </c>
      <c r="O18" s="28">
        <v>142254.87</v>
      </c>
      <c r="P18" s="21">
        <f t="shared" si="0"/>
        <v>-325.02999999999884</v>
      </c>
      <c r="Q18" s="129" t="s">
        <v>123</v>
      </c>
    </row>
    <row r="19" spans="1:17" ht="13.8" x14ac:dyDescent="0.25">
      <c r="A19" s="11" t="s">
        <v>10</v>
      </c>
      <c r="B19" s="154" t="s">
        <v>11</v>
      </c>
      <c r="C19" s="154"/>
      <c r="D19" s="39"/>
      <c r="E19" s="39">
        <v>45000</v>
      </c>
      <c r="F19" s="40">
        <v>0</v>
      </c>
      <c r="G19" s="40">
        <v>48100</v>
      </c>
      <c r="H19" s="41" t="s">
        <v>23</v>
      </c>
      <c r="I19" s="45" t="s">
        <v>40</v>
      </c>
      <c r="O19" s="28">
        <f>34500+4900</f>
        <v>39400</v>
      </c>
      <c r="P19" s="21">
        <f t="shared" si="0"/>
        <v>8700</v>
      </c>
      <c r="Q19" s="129" t="s">
        <v>197</v>
      </c>
    </row>
    <row r="20" spans="1:17" ht="27.6" x14ac:dyDescent="0.25">
      <c r="A20" s="11" t="s">
        <v>13</v>
      </c>
      <c r="B20" s="154" t="s">
        <v>12</v>
      </c>
      <c r="C20" s="154"/>
      <c r="D20" s="39">
        <v>0</v>
      </c>
      <c r="E20" s="39"/>
      <c r="F20" s="40"/>
      <c r="G20" s="40">
        <v>5000</v>
      </c>
      <c r="H20" s="41" t="s">
        <v>23</v>
      </c>
      <c r="I20" s="45" t="s">
        <v>182</v>
      </c>
      <c r="O20" s="28">
        <v>0</v>
      </c>
      <c r="P20" s="21">
        <f t="shared" si="0"/>
        <v>5000</v>
      </c>
      <c r="Q20" s="129" t="s">
        <v>181</v>
      </c>
    </row>
    <row r="21" spans="1:17" ht="39.6" x14ac:dyDescent="0.25">
      <c r="A21" s="11" t="s">
        <v>14</v>
      </c>
      <c r="B21" s="184" t="s">
        <v>19</v>
      </c>
      <c r="C21" s="181"/>
      <c r="D21" s="39">
        <v>150000</v>
      </c>
      <c r="E21" s="39">
        <f>D21*3</f>
        <v>450000</v>
      </c>
      <c r="F21" s="40">
        <v>150000</v>
      </c>
      <c r="G21" s="40">
        <f>F21*$K$3</f>
        <v>1200000</v>
      </c>
      <c r="H21" s="41" t="s">
        <v>23</v>
      </c>
      <c r="I21" s="45" t="s">
        <v>183</v>
      </c>
      <c r="O21" s="28">
        <v>955800</v>
      </c>
      <c r="P21" s="21">
        <f t="shared" si="0"/>
        <v>244200</v>
      </c>
      <c r="Q21" s="129" t="s">
        <v>119</v>
      </c>
    </row>
    <row r="22" spans="1:17" ht="79.2" x14ac:dyDescent="0.25">
      <c r="A22" s="11" t="s">
        <v>46</v>
      </c>
      <c r="B22" s="184" t="s">
        <v>45</v>
      </c>
      <c r="C22" s="181"/>
      <c r="D22" s="39"/>
      <c r="E22" s="39"/>
      <c r="F22" s="40">
        <v>5000</v>
      </c>
      <c r="G22" s="40">
        <f>F22*$K$3</f>
        <v>40000</v>
      </c>
      <c r="H22" s="41" t="s">
        <v>23</v>
      </c>
      <c r="I22" s="45" t="s">
        <v>48</v>
      </c>
      <c r="O22" s="28">
        <v>5000</v>
      </c>
      <c r="P22" s="21">
        <f t="shared" si="0"/>
        <v>35000</v>
      </c>
      <c r="Q22" s="129" t="s">
        <v>118</v>
      </c>
    </row>
    <row r="23" spans="1:17" ht="39.6" x14ac:dyDescent="0.25">
      <c r="A23" s="11" t="s">
        <v>47</v>
      </c>
      <c r="B23" s="184" t="s">
        <v>21</v>
      </c>
      <c r="C23" s="181"/>
      <c r="D23" s="39">
        <v>0</v>
      </c>
      <c r="E23" s="39">
        <v>5200</v>
      </c>
      <c r="F23" s="40">
        <v>0</v>
      </c>
      <c r="G23" s="40">
        <v>49265.05</v>
      </c>
      <c r="H23" s="41" t="s">
        <v>23</v>
      </c>
      <c r="I23" s="45" t="s">
        <v>184</v>
      </c>
      <c r="O23" s="28">
        <v>16420</v>
      </c>
      <c r="P23" s="21">
        <f t="shared" si="0"/>
        <v>32845.050000000003</v>
      </c>
      <c r="Q23" s="129" t="s">
        <v>149</v>
      </c>
    </row>
    <row r="24" spans="1:17" ht="30.6" customHeight="1" x14ac:dyDescent="0.25">
      <c r="A24" s="171" t="s">
        <v>33</v>
      </c>
      <c r="B24" s="172"/>
      <c r="C24" s="173"/>
      <c r="D24" s="49">
        <f>SUM(D16:D23)</f>
        <v>195741.22999999998</v>
      </c>
      <c r="E24" s="49">
        <f>SUM(E16:E23)</f>
        <v>818423.69</v>
      </c>
      <c r="F24" s="50">
        <f>SUM(F16:F23)</f>
        <v>207741.22999999998</v>
      </c>
      <c r="G24" s="50">
        <f>SUM(G16:G23)</f>
        <v>1828294.89</v>
      </c>
      <c r="H24" s="51"/>
      <c r="I24" s="45"/>
      <c r="O24" s="32">
        <f>SUM(O16:O23)</f>
        <v>1492655.52</v>
      </c>
      <c r="P24" s="26">
        <f>SUM(P16:P23)</f>
        <v>335639.36999999994</v>
      </c>
      <c r="Q24" s="122"/>
    </row>
    <row r="25" spans="1:17" ht="13.8" x14ac:dyDescent="0.25">
      <c r="A25" s="183" t="s">
        <v>15</v>
      </c>
      <c r="B25" s="183"/>
      <c r="C25" s="183"/>
      <c r="D25" s="183"/>
      <c r="E25" s="183"/>
      <c r="F25" s="183"/>
      <c r="G25" s="183"/>
      <c r="H25" s="171"/>
      <c r="I25" s="45"/>
      <c r="O25" s="53"/>
      <c r="Q25" s="123"/>
    </row>
    <row r="26" spans="1:17" ht="27.6" x14ac:dyDescent="0.25">
      <c r="A26" s="235" t="s">
        <v>16</v>
      </c>
      <c r="B26" s="184" t="s">
        <v>29</v>
      </c>
      <c r="C26" s="181"/>
      <c r="D26" s="29"/>
      <c r="E26" s="47"/>
      <c r="F26" s="47"/>
      <c r="G26" s="47"/>
      <c r="H26" s="48"/>
      <c r="I26" s="45"/>
      <c r="O26" s="55" t="s">
        <v>116</v>
      </c>
      <c r="P26" s="55" t="s">
        <v>120</v>
      </c>
      <c r="Q26" s="124" t="s">
        <v>7</v>
      </c>
    </row>
    <row r="27" spans="1:17" ht="66" x14ac:dyDescent="0.25">
      <c r="A27" s="236"/>
      <c r="B27" s="184" t="s">
        <v>26</v>
      </c>
      <c r="C27" s="181"/>
      <c r="D27" s="56">
        <v>13000</v>
      </c>
      <c r="E27" s="56">
        <f>D27*4</f>
        <v>52000</v>
      </c>
      <c r="F27" s="40">
        <v>13000</v>
      </c>
      <c r="G27" s="40">
        <f>F27*$K$3</f>
        <v>104000</v>
      </c>
      <c r="H27" s="41" t="s">
        <v>23</v>
      </c>
      <c r="I27" s="45" t="s">
        <v>49</v>
      </c>
      <c r="O27" s="28">
        <v>52000</v>
      </c>
      <c r="P27" s="21">
        <f>G27-O27</f>
        <v>52000</v>
      </c>
      <c r="Q27" s="129" t="s">
        <v>121</v>
      </c>
    </row>
    <row r="28" spans="1:17" ht="26.4" x14ac:dyDescent="0.25">
      <c r="A28" s="215"/>
      <c r="B28" s="184" t="s">
        <v>103</v>
      </c>
      <c r="C28" s="181"/>
      <c r="D28" s="56">
        <v>15000</v>
      </c>
      <c r="E28" s="56">
        <f>D28*4</f>
        <v>60000</v>
      </c>
      <c r="F28" s="40">
        <v>15000</v>
      </c>
      <c r="G28" s="40">
        <f>F28*$K$3</f>
        <v>120000</v>
      </c>
      <c r="H28" s="41" t="s">
        <v>23</v>
      </c>
      <c r="I28" s="45" t="s">
        <v>50</v>
      </c>
      <c r="O28" s="28">
        <f>9836.41+7824.57</f>
        <v>17660.98</v>
      </c>
      <c r="P28" s="21">
        <f>G28-O28</f>
        <v>102339.02</v>
      </c>
      <c r="Q28" s="129" t="s">
        <v>122</v>
      </c>
    </row>
    <row r="29" spans="1:17" ht="66" x14ac:dyDescent="0.25">
      <c r="A29" s="54" t="s">
        <v>51</v>
      </c>
      <c r="B29" s="262" t="s">
        <v>41</v>
      </c>
      <c r="C29" s="209"/>
      <c r="D29" s="57">
        <v>20000</v>
      </c>
      <c r="E29" s="57">
        <f>D29*4</f>
        <v>80000</v>
      </c>
      <c r="F29" s="58">
        <v>20000</v>
      </c>
      <c r="G29" s="58">
        <f>F29*$K$3</f>
        <v>160000</v>
      </c>
      <c r="H29" s="59" t="s">
        <v>23</v>
      </c>
      <c r="I29" s="60" t="s">
        <v>185</v>
      </c>
      <c r="O29" s="61">
        <v>82000</v>
      </c>
      <c r="P29" s="62">
        <f>G29-O29</f>
        <v>78000</v>
      </c>
      <c r="Q29" s="130" t="s">
        <v>130</v>
      </c>
    </row>
    <row r="30" spans="1:17" ht="13.8" x14ac:dyDescent="0.25">
      <c r="A30" s="183" t="s">
        <v>33</v>
      </c>
      <c r="B30" s="183"/>
      <c r="C30" s="183"/>
      <c r="D30" s="63">
        <f ca="1">SUM(D26:D49)</f>
        <v>48000</v>
      </c>
      <c r="E30" s="63">
        <f ca="1">SUM(E26:E49)</f>
        <v>192000</v>
      </c>
      <c r="F30" s="63">
        <f>SUM(F27:F29)</f>
        <v>48000</v>
      </c>
      <c r="G30" s="63">
        <f>SUM(G27:G29)</f>
        <v>384000</v>
      </c>
      <c r="H30" s="52"/>
      <c r="I30" s="42"/>
      <c r="J30" s="64"/>
      <c r="K30" s="64"/>
      <c r="L30" s="64"/>
      <c r="M30" s="64"/>
      <c r="N30" s="64"/>
      <c r="O30" s="32">
        <f>SUM(O27:O29)</f>
        <v>151660.97999999998</v>
      </c>
      <c r="P30" s="26">
        <f>SUM(P27:P29)</f>
        <v>232339.02000000002</v>
      </c>
      <c r="Q30" s="20"/>
    </row>
    <row r="31" spans="1:17" ht="27.6" x14ac:dyDescent="0.25">
      <c r="A31" s="183" t="s">
        <v>52</v>
      </c>
      <c r="B31" s="183"/>
      <c r="C31" s="183"/>
      <c r="D31" s="183"/>
      <c r="E31" s="183"/>
      <c r="F31" s="183"/>
      <c r="G31" s="183"/>
      <c r="H31" s="183"/>
      <c r="I31" s="45"/>
      <c r="J31" s="64"/>
      <c r="K31" s="64"/>
      <c r="L31" s="64"/>
      <c r="M31" s="64"/>
      <c r="N31" s="64"/>
      <c r="O31" s="55" t="s">
        <v>116</v>
      </c>
      <c r="P31" s="55" t="s">
        <v>120</v>
      </c>
      <c r="Q31" s="55" t="s">
        <v>7</v>
      </c>
    </row>
    <row r="32" spans="1:17" ht="42.6" customHeight="1" x14ac:dyDescent="0.25">
      <c r="A32" s="65" t="s">
        <v>53</v>
      </c>
      <c r="B32" s="260" t="s">
        <v>125</v>
      </c>
      <c r="C32" s="261"/>
      <c r="D32" s="66"/>
      <c r="E32" s="67"/>
      <c r="F32" s="68">
        <v>30028</v>
      </c>
      <c r="G32" s="69">
        <v>240224</v>
      </c>
      <c r="H32" s="70"/>
      <c r="I32" s="71"/>
      <c r="O32" s="72">
        <v>220025</v>
      </c>
      <c r="P32" s="73">
        <f>G32-O32</f>
        <v>20199</v>
      </c>
      <c r="Q32" s="129" t="s">
        <v>151</v>
      </c>
    </row>
    <row r="33" spans="1:19" ht="42.6" customHeight="1" x14ac:dyDescent="0.25">
      <c r="A33" s="74" t="s">
        <v>54</v>
      </c>
      <c r="B33" s="164" t="s">
        <v>24</v>
      </c>
      <c r="C33" s="179"/>
      <c r="D33" s="75">
        <v>0</v>
      </c>
      <c r="E33" s="76">
        <v>0</v>
      </c>
      <c r="F33" s="77">
        <v>50000</v>
      </c>
      <c r="G33" s="78">
        <f t="shared" ref="G33:G40" si="1">F33*$K$3</f>
        <v>400000</v>
      </c>
      <c r="H33" s="41" t="s">
        <v>23</v>
      </c>
      <c r="I33" s="45" t="s">
        <v>186</v>
      </c>
      <c r="O33" s="28">
        <v>375000</v>
      </c>
      <c r="P33" s="79">
        <f t="shared" ref="P33:P41" si="2">G33-O33</f>
        <v>25000</v>
      </c>
      <c r="Q33" s="129" t="s">
        <v>151</v>
      </c>
    </row>
    <row r="34" spans="1:19" ht="42.6" customHeight="1" x14ac:dyDescent="0.25">
      <c r="A34" s="74" t="s">
        <v>55</v>
      </c>
      <c r="B34" s="164" t="s">
        <v>25</v>
      </c>
      <c r="C34" s="179"/>
      <c r="D34" s="75">
        <v>0</v>
      </c>
      <c r="E34" s="76">
        <v>0</v>
      </c>
      <c r="F34" s="78">
        <v>25000</v>
      </c>
      <c r="G34" s="78">
        <f t="shared" si="1"/>
        <v>200000</v>
      </c>
      <c r="H34" s="41" t="s">
        <v>23</v>
      </c>
      <c r="I34" s="45" t="s">
        <v>187</v>
      </c>
      <c r="O34" s="28">
        <v>175000</v>
      </c>
      <c r="P34" s="79">
        <f t="shared" si="2"/>
        <v>25000</v>
      </c>
      <c r="Q34" s="129" t="s">
        <v>151</v>
      </c>
    </row>
    <row r="35" spans="1:19" ht="42.6" customHeight="1" x14ac:dyDescent="0.25">
      <c r="A35" s="74" t="s">
        <v>57</v>
      </c>
      <c r="B35" s="164" t="s">
        <v>56</v>
      </c>
      <c r="C35" s="165"/>
      <c r="D35" s="80"/>
      <c r="E35" s="81"/>
      <c r="F35" s="77">
        <v>6000</v>
      </c>
      <c r="G35" s="77">
        <f t="shared" si="1"/>
        <v>48000</v>
      </c>
      <c r="H35" s="41" t="s">
        <v>23</v>
      </c>
      <c r="I35" s="45" t="s">
        <v>188</v>
      </c>
      <c r="O35" s="28">
        <v>15300</v>
      </c>
      <c r="P35" s="79">
        <f t="shared" si="2"/>
        <v>32700</v>
      </c>
      <c r="Q35" s="129" t="s">
        <v>129</v>
      </c>
    </row>
    <row r="36" spans="1:19" ht="66" x14ac:dyDescent="0.25">
      <c r="A36" s="74" t="s">
        <v>58</v>
      </c>
      <c r="B36" s="164" t="s">
        <v>43</v>
      </c>
      <c r="C36" s="179"/>
      <c r="D36" s="82"/>
      <c r="E36" s="81"/>
      <c r="F36" s="77">
        <v>25000</v>
      </c>
      <c r="G36" s="77">
        <f t="shared" si="1"/>
        <v>200000</v>
      </c>
      <c r="H36" s="41" t="s">
        <v>23</v>
      </c>
      <c r="I36" s="45" t="s">
        <v>189</v>
      </c>
      <c r="O36" s="28">
        <v>105000</v>
      </c>
      <c r="P36" s="79">
        <f t="shared" si="2"/>
        <v>95000</v>
      </c>
      <c r="Q36" s="129" t="s">
        <v>150</v>
      </c>
    </row>
    <row r="37" spans="1:19" ht="27.6" x14ac:dyDescent="0.25">
      <c r="A37" s="74" t="s">
        <v>59</v>
      </c>
      <c r="B37" s="164" t="s">
        <v>20</v>
      </c>
      <c r="C37" s="179"/>
      <c r="D37" s="82"/>
      <c r="E37" s="81"/>
      <c r="F37" s="77">
        <v>4916</v>
      </c>
      <c r="G37" s="77">
        <f t="shared" si="1"/>
        <v>39328</v>
      </c>
      <c r="H37" s="41" t="s">
        <v>23</v>
      </c>
      <c r="I37" s="45" t="s">
        <v>190</v>
      </c>
      <c r="K37" s="2">
        <v>59000</v>
      </c>
      <c r="L37" s="2">
        <f>K37/12</f>
        <v>4916.666666666667</v>
      </c>
      <c r="M37" s="2">
        <v>12</v>
      </c>
      <c r="O37" s="28">
        <v>25913.1</v>
      </c>
      <c r="P37" s="79">
        <f t="shared" si="2"/>
        <v>13414.900000000001</v>
      </c>
      <c r="Q37" s="129"/>
    </row>
    <row r="38" spans="1:19" ht="26.4" x14ac:dyDescent="0.25">
      <c r="A38" s="74" t="s">
        <v>66</v>
      </c>
      <c r="B38" s="164" t="s">
        <v>61</v>
      </c>
      <c r="C38" s="179"/>
      <c r="D38" s="82"/>
      <c r="E38" s="81"/>
      <c r="F38" s="77">
        <v>1142</v>
      </c>
      <c r="G38" s="77">
        <f t="shared" si="1"/>
        <v>9136</v>
      </c>
      <c r="H38" s="41" t="s">
        <v>23</v>
      </c>
      <c r="I38" s="45" t="s">
        <v>191</v>
      </c>
      <c r="K38" s="2">
        <f>G38/$M$37</f>
        <v>761.33333333333337</v>
      </c>
      <c r="O38" s="28">
        <v>0</v>
      </c>
      <c r="P38" s="79">
        <f t="shared" si="2"/>
        <v>9136</v>
      </c>
      <c r="Q38" s="129" t="s">
        <v>131</v>
      </c>
    </row>
    <row r="39" spans="1:19" ht="27.6" x14ac:dyDescent="0.25">
      <c r="A39" s="74" t="s">
        <v>67</v>
      </c>
      <c r="B39" s="164" t="s">
        <v>60</v>
      </c>
      <c r="C39" s="165"/>
      <c r="D39" s="82"/>
      <c r="E39" s="81"/>
      <c r="F39" s="77">
        <v>572.5</v>
      </c>
      <c r="G39" s="77">
        <f t="shared" si="1"/>
        <v>4580</v>
      </c>
      <c r="H39" s="41" t="s">
        <v>23</v>
      </c>
      <c r="I39" s="45" t="s">
        <v>192</v>
      </c>
      <c r="K39" s="2">
        <f>G39/$M$37</f>
        <v>381.66666666666669</v>
      </c>
      <c r="O39" s="28">
        <v>0</v>
      </c>
      <c r="P39" s="79">
        <f t="shared" si="2"/>
        <v>4580</v>
      </c>
      <c r="Q39" s="129" t="s">
        <v>131</v>
      </c>
    </row>
    <row r="40" spans="1:19" ht="26.4" x14ac:dyDescent="0.25">
      <c r="A40" s="74" t="s">
        <v>68</v>
      </c>
      <c r="B40" s="164" t="s">
        <v>44</v>
      </c>
      <c r="C40" s="165"/>
      <c r="D40" s="82"/>
      <c r="E40" s="81"/>
      <c r="F40" s="77">
        <v>1033.33</v>
      </c>
      <c r="G40" s="77">
        <f t="shared" si="1"/>
        <v>8266.64</v>
      </c>
      <c r="H40" s="41" t="s">
        <v>23</v>
      </c>
      <c r="I40" s="45" t="s">
        <v>193</v>
      </c>
      <c r="K40" s="2">
        <f>G40/$M$37</f>
        <v>688.88666666666666</v>
      </c>
      <c r="O40" s="28">
        <v>0</v>
      </c>
      <c r="P40" s="79">
        <f t="shared" si="2"/>
        <v>8266.64</v>
      </c>
      <c r="Q40" s="129" t="s">
        <v>131</v>
      </c>
    </row>
    <row r="41" spans="1:19" ht="13.8" x14ac:dyDescent="0.25">
      <c r="A41" s="171" t="s">
        <v>42</v>
      </c>
      <c r="B41" s="172"/>
      <c r="C41" s="173"/>
      <c r="D41" s="82"/>
      <c r="E41" s="81"/>
      <c r="F41" s="50">
        <f>SUM(F32:F40)</f>
        <v>143691.82999999999</v>
      </c>
      <c r="G41" s="50">
        <f>SUM(G32:G40)</f>
        <v>1149534.6399999999</v>
      </c>
      <c r="H41" s="88"/>
      <c r="I41" s="27"/>
      <c r="O41" s="118">
        <f>SUM(O32:O40)</f>
        <v>916238.1</v>
      </c>
      <c r="P41" s="126">
        <f t="shared" si="2"/>
        <v>233296.53999999992</v>
      </c>
      <c r="Q41" s="122"/>
    </row>
    <row r="42" spans="1:19" s="31" customFormat="1" ht="13.8" x14ac:dyDescent="0.25">
      <c r="A42" s="161" t="s">
        <v>124</v>
      </c>
      <c r="B42" s="162"/>
      <c r="C42" s="163"/>
      <c r="D42" s="84"/>
      <c r="E42" s="85"/>
      <c r="F42" s="86"/>
      <c r="G42" s="87">
        <f>G24+G30+G41</f>
        <v>3361829.5299999993</v>
      </c>
      <c r="H42" s="128"/>
      <c r="I42" s="30"/>
      <c r="J42" s="120"/>
      <c r="K42" s="120"/>
      <c r="L42" s="120"/>
      <c r="M42" s="120"/>
      <c r="N42" s="120"/>
      <c r="O42" s="32">
        <f>O24+O30+O41</f>
        <v>2560554.6</v>
      </c>
      <c r="P42" s="83">
        <f>P24+P30+P41</f>
        <v>801274.92999999982</v>
      </c>
      <c r="Q42" s="125"/>
      <c r="R42" s="33"/>
      <c r="S42" s="33"/>
    </row>
    <row r="43" spans="1:19" s="89" customFormat="1" ht="13.8" x14ac:dyDescent="0.3">
      <c r="A43" s="131"/>
      <c r="B43" s="182" t="s">
        <v>81</v>
      </c>
      <c r="C43" s="182"/>
      <c r="D43" s="132"/>
      <c r="E43" s="132"/>
      <c r="F43" s="86"/>
      <c r="G43" s="133">
        <f>G9-G42</f>
        <v>18170.470000000671</v>
      </c>
      <c r="H43" s="90"/>
      <c r="I43" s="90"/>
      <c r="O43" s="127"/>
      <c r="P43" s="90"/>
      <c r="Q43" s="90"/>
      <c r="R43" s="90"/>
      <c r="S43" s="90"/>
    </row>
    <row r="44" spans="1:19" s="89" customFormat="1" ht="31.8" customHeight="1" x14ac:dyDescent="0.3">
      <c r="A44" s="144" t="s">
        <v>142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6"/>
      <c r="P44" s="134">
        <f>G42+G43-O42</f>
        <v>819445.39999999991</v>
      </c>
      <c r="Q44" s="19"/>
      <c r="R44" s="90"/>
      <c r="S44" s="90"/>
    </row>
    <row r="45" spans="1:19" ht="24" customHeight="1" x14ac:dyDescent="0.25">
      <c r="A45" s="244" t="s">
        <v>132</v>
      </c>
      <c r="B45" s="245"/>
      <c r="C45" s="245"/>
      <c r="D45" s="245"/>
      <c r="E45" s="245"/>
      <c r="F45" s="245"/>
      <c r="G45" s="245"/>
      <c r="H45" s="245"/>
      <c r="I45" s="245"/>
      <c r="J45" s="246"/>
      <c r="K45" s="246"/>
      <c r="L45" s="246"/>
      <c r="M45" s="246"/>
      <c r="N45" s="246"/>
      <c r="O45" s="246"/>
      <c r="P45" s="246"/>
      <c r="Q45" s="246"/>
    </row>
    <row r="46" spans="1:19" ht="13.8" x14ac:dyDescent="0.25">
      <c r="A46" s="240" t="s">
        <v>117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6" t="s">
        <v>113</v>
      </c>
    </row>
    <row r="47" spans="1:19" ht="42.6" customHeight="1" x14ac:dyDescent="0.25">
      <c r="A47" s="91" t="s">
        <v>0</v>
      </c>
      <c r="B47" s="242" t="s">
        <v>1</v>
      </c>
      <c r="C47" s="243"/>
      <c r="D47" s="93" t="s">
        <v>22</v>
      </c>
      <c r="E47" s="92" t="s">
        <v>18</v>
      </c>
      <c r="F47" s="92" t="s">
        <v>91</v>
      </c>
      <c r="G47" s="136" t="s">
        <v>114</v>
      </c>
      <c r="H47" s="235"/>
      <c r="I47" s="34" t="s">
        <v>7</v>
      </c>
      <c r="J47" s="12"/>
      <c r="K47" s="12"/>
      <c r="L47" s="12"/>
      <c r="M47" s="12"/>
      <c r="N47" s="12"/>
      <c r="O47" s="36" t="s">
        <v>195</v>
      </c>
      <c r="P47" s="36" t="s">
        <v>111</v>
      </c>
      <c r="Q47" s="36" t="s">
        <v>7</v>
      </c>
    </row>
    <row r="48" spans="1:19" ht="13.8" x14ac:dyDescent="0.25">
      <c r="A48" s="10" t="s">
        <v>2</v>
      </c>
      <c r="B48" s="168" t="s">
        <v>73</v>
      </c>
      <c r="C48" s="168"/>
      <c r="D48" s="94">
        <v>5000</v>
      </c>
      <c r="E48" s="94">
        <f>D48*66*12</f>
        <v>3960000</v>
      </c>
      <c r="F48" s="95">
        <f>F74/65</f>
        <v>6104.6153846153848</v>
      </c>
      <c r="G48" s="167">
        <v>396800</v>
      </c>
      <c r="H48" s="167"/>
      <c r="I48" s="167"/>
      <c r="J48" s="96"/>
      <c r="K48" s="97"/>
      <c r="L48" s="97"/>
      <c r="M48" s="97"/>
      <c r="N48" s="97"/>
      <c r="O48" s="26">
        <v>121218</v>
      </c>
      <c r="P48" s="26">
        <f>G48-O48</f>
        <v>275582</v>
      </c>
      <c r="Q48" s="20"/>
    </row>
    <row r="49" spans="1:17" ht="42.6" customHeight="1" x14ac:dyDescent="0.25">
      <c r="A49" s="185" t="s">
        <v>90</v>
      </c>
      <c r="B49" s="186"/>
      <c r="C49" s="186"/>
      <c r="D49" s="186"/>
      <c r="E49" s="186"/>
      <c r="F49" s="186"/>
      <c r="G49" s="186"/>
      <c r="H49" s="186"/>
      <c r="I49" s="187"/>
      <c r="O49" s="4">
        <v>80</v>
      </c>
    </row>
    <row r="50" spans="1:17" ht="41.4" x14ac:dyDescent="0.25">
      <c r="A50" s="10" t="s">
        <v>0</v>
      </c>
      <c r="B50" s="168" t="s">
        <v>72</v>
      </c>
      <c r="C50" s="168"/>
      <c r="D50" s="10" t="s">
        <v>22</v>
      </c>
      <c r="E50" s="10" t="s">
        <v>18</v>
      </c>
      <c r="F50" s="10" t="s">
        <v>76</v>
      </c>
      <c r="G50" s="190" t="s">
        <v>133</v>
      </c>
      <c r="H50" s="191"/>
      <c r="I50" s="192"/>
      <c r="O50" s="36" t="s">
        <v>116</v>
      </c>
      <c r="P50" s="36" t="s">
        <v>111</v>
      </c>
      <c r="Q50" s="36" t="s">
        <v>7</v>
      </c>
    </row>
    <row r="51" spans="1:17" ht="42" thickBot="1" x14ac:dyDescent="0.3">
      <c r="A51" s="98">
        <v>1</v>
      </c>
      <c r="B51" s="159" t="s">
        <v>17</v>
      </c>
      <c r="C51" s="159"/>
      <c r="D51" s="57">
        <v>0</v>
      </c>
      <c r="E51" s="57">
        <v>0</v>
      </c>
      <c r="F51" s="99">
        <v>58000</v>
      </c>
      <c r="G51" s="156" t="s">
        <v>138</v>
      </c>
      <c r="H51" s="156"/>
      <c r="I51" s="60" t="s">
        <v>82</v>
      </c>
      <c r="O51" s="100">
        <v>0</v>
      </c>
      <c r="P51" s="21">
        <f>F51-O51</f>
        <v>58000</v>
      </c>
      <c r="Q51" s="45" t="s">
        <v>198</v>
      </c>
    </row>
    <row r="52" spans="1:17" ht="13.8" x14ac:dyDescent="0.25">
      <c r="A52" s="101">
        <v>2</v>
      </c>
      <c r="B52" s="160" t="s">
        <v>30</v>
      </c>
      <c r="C52" s="160"/>
      <c r="D52" s="102">
        <v>0</v>
      </c>
      <c r="E52" s="102">
        <v>0</v>
      </c>
      <c r="F52" s="102">
        <v>208000</v>
      </c>
      <c r="G52" s="216" t="s">
        <v>134</v>
      </c>
      <c r="H52" s="217"/>
      <c r="I52" s="247"/>
      <c r="J52" s="103"/>
      <c r="K52" s="103"/>
      <c r="L52" s="103"/>
      <c r="M52" s="103"/>
      <c r="N52" s="103"/>
      <c r="O52" s="230">
        <v>41684.800000000003</v>
      </c>
      <c r="P52" s="250">
        <f>(F52+F53+F54+F55)-O52</f>
        <v>266315.2</v>
      </c>
      <c r="Q52" s="248" t="s">
        <v>135</v>
      </c>
    </row>
    <row r="53" spans="1:17" ht="13.8" x14ac:dyDescent="0.25">
      <c r="A53" s="104">
        <v>3</v>
      </c>
      <c r="B53" s="154" t="s">
        <v>75</v>
      </c>
      <c r="C53" s="154"/>
      <c r="D53" s="56">
        <v>0</v>
      </c>
      <c r="E53" s="56">
        <v>0</v>
      </c>
      <c r="F53" s="56">
        <v>30000</v>
      </c>
      <c r="G53" s="218"/>
      <c r="H53" s="219"/>
      <c r="I53" s="248"/>
      <c r="J53" s="64"/>
      <c r="K53" s="64"/>
      <c r="L53" s="64"/>
      <c r="M53" s="64"/>
      <c r="N53" s="64"/>
      <c r="O53" s="231"/>
      <c r="P53" s="201"/>
      <c r="Q53" s="248"/>
    </row>
    <row r="54" spans="1:17" ht="13.8" x14ac:dyDescent="0.25">
      <c r="A54" s="104">
        <v>4</v>
      </c>
      <c r="B54" s="154" t="s">
        <v>34</v>
      </c>
      <c r="C54" s="154"/>
      <c r="D54" s="56">
        <v>0</v>
      </c>
      <c r="E54" s="56">
        <v>0</v>
      </c>
      <c r="F54" s="56">
        <v>30000</v>
      </c>
      <c r="G54" s="218"/>
      <c r="H54" s="219"/>
      <c r="I54" s="248"/>
      <c r="J54" s="64"/>
      <c r="K54" s="64"/>
      <c r="L54" s="64"/>
      <c r="M54" s="64"/>
      <c r="N54" s="64"/>
      <c r="O54" s="231"/>
      <c r="P54" s="201"/>
      <c r="Q54" s="248"/>
    </row>
    <row r="55" spans="1:17" ht="43.8" customHeight="1" thickBot="1" x14ac:dyDescent="0.3">
      <c r="A55" s="105">
        <v>5</v>
      </c>
      <c r="B55" s="166" t="s">
        <v>35</v>
      </c>
      <c r="C55" s="166"/>
      <c r="D55" s="106">
        <v>0</v>
      </c>
      <c r="E55" s="106">
        <v>0</v>
      </c>
      <c r="F55" s="106">
        <v>40000</v>
      </c>
      <c r="G55" s="220"/>
      <c r="H55" s="221"/>
      <c r="I55" s="249"/>
      <c r="J55" s="107"/>
      <c r="K55" s="107"/>
      <c r="L55" s="107"/>
      <c r="M55" s="107"/>
      <c r="N55" s="107"/>
      <c r="O55" s="232"/>
      <c r="P55" s="201"/>
      <c r="Q55" s="248"/>
    </row>
    <row r="56" spans="1:17" ht="37.200000000000003" customHeight="1" x14ac:dyDescent="0.25">
      <c r="A56" s="174">
        <v>6</v>
      </c>
      <c r="B56" s="169" t="s">
        <v>69</v>
      </c>
      <c r="C56" s="170"/>
      <c r="D56" s="108"/>
      <c r="E56" s="108"/>
      <c r="F56" s="109">
        <v>6200</v>
      </c>
      <c r="G56" s="265" t="s">
        <v>164</v>
      </c>
      <c r="H56" s="266"/>
      <c r="I56" s="188"/>
      <c r="O56" s="210">
        <v>58890</v>
      </c>
      <c r="P56" s="213">
        <f>F56-O56</f>
        <v>-52690</v>
      </c>
      <c r="Q56" s="222" t="s">
        <v>139</v>
      </c>
    </row>
    <row r="57" spans="1:17" ht="13.8" x14ac:dyDescent="0.25">
      <c r="A57" s="175"/>
      <c r="B57" s="181" t="s">
        <v>70</v>
      </c>
      <c r="C57" s="154"/>
      <c r="D57" s="56"/>
      <c r="E57" s="56"/>
      <c r="F57" s="39"/>
      <c r="G57" s="267"/>
      <c r="H57" s="268"/>
      <c r="I57" s="188"/>
      <c r="O57" s="211"/>
      <c r="P57" s="188"/>
      <c r="Q57" s="223"/>
    </row>
    <row r="58" spans="1:17" ht="28.8" customHeight="1" x14ac:dyDescent="0.25">
      <c r="A58" s="170"/>
      <c r="B58" s="181" t="s">
        <v>74</v>
      </c>
      <c r="C58" s="154"/>
      <c r="D58" s="56"/>
      <c r="E58" s="56"/>
      <c r="F58" s="39"/>
      <c r="G58" s="269"/>
      <c r="H58" s="270"/>
      <c r="I58" s="189"/>
      <c r="O58" s="212"/>
      <c r="P58" s="189"/>
      <c r="Q58" s="224"/>
    </row>
    <row r="59" spans="1:17" ht="13.8" x14ac:dyDescent="0.25">
      <c r="A59" s="74" t="s">
        <v>78</v>
      </c>
      <c r="B59" s="178" t="s">
        <v>79</v>
      </c>
      <c r="C59" s="179"/>
      <c r="D59" s="82"/>
      <c r="E59" s="81"/>
      <c r="F59" s="111">
        <v>24600</v>
      </c>
      <c r="G59" s="153"/>
      <c r="H59" s="153"/>
      <c r="I59" s="156" t="s">
        <v>83</v>
      </c>
      <c r="O59" s="28">
        <f>SUM(O60:O65)</f>
        <v>20644</v>
      </c>
      <c r="P59" s="21">
        <f t="shared" ref="P59:P65" si="3">F59-O59</f>
        <v>3956</v>
      </c>
      <c r="Q59" s="222" t="s">
        <v>141</v>
      </c>
    </row>
    <row r="60" spans="1:17" ht="13.8" x14ac:dyDescent="0.25">
      <c r="A60" s="74"/>
      <c r="B60" s="178" t="s">
        <v>77</v>
      </c>
      <c r="C60" s="180"/>
      <c r="D60" s="80">
        <v>0</v>
      </c>
      <c r="E60" s="113">
        <v>0</v>
      </c>
      <c r="F60" s="56">
        <v>15000</v>
      </c>
      <c r="G60" s="178" t="s">
        <v>107</v>
      </c>
      <c r="H60" s="180"/>
      <c r="I60" s="157"/>
      <c r="O60" s="28">
        <f>14592+195+195</f>
        <v>14982</v>
      </c>
      <c r="P60" s="21">
        <f t="shared" si="3"/>
        <v>18</v>
      </c>
      <c r="Q60" s="263"/>
    </row>
    <row r="61" spans="1:17" ht="13.8" x14ac:dyDescent="0.25">
      <c r="A61" s="74"/>
      <c r="B61" s="225" t="s">
        <v>140</v>
      </c>
      <c r="C61" s="165"/>
      <c r="D61" s="80"/>
      <c r="E61" s="113"/>
      <c r="F61" s="56">
        <v>2000</v>
      </c>
      <c r="G61" s="226" t="s">
        <v>176</v>
      </c>
      <c r="H61" s="227"/>
      <c r="I61" s="157"/>
      <c r="O61" s="28">
        <v>1200</v>
      </c>
      <c r="P61" s="21">
        <f t="shared" si="3"/>
        <v>800</v>
      </c>
      <c r="Q61" s="263"/>
    </row>
    <row r="62" spans="1:17" ht="13.8" x14ac:dyDescent="0.25">
      <c r="A62" s="74"/>
      <c r="B62" s="178" t="s">
        <v>108</v>
      </c>
      <c r="C62" s="180"/>
      <c r="D62" s="80">
        <v>0</v>
      </c>
      <c r="E62" s="113">
        <v>0</v>
      </c>
      <c r="F62" s="56">
        <v>600</v>
      </c>
      <c r="G62" s="152" t="s">
        <v>138</v>
      </c>
      <c r="H62" s="153"/>
      <c r="I62" s="157"/>
      <c r="O62" s="28">
        <v>0</v>
      </c>
      <c r="P62" s="21">
        <f t="shared" si="3"/>
        <v>600</v>
      </c>
      <c r="Q62" s="263"/>
    </row>
    <row r="63" spans="1:17" ht="13.8" x14ac:dyDescent="0.25">
      <c r="A63" s="74"/>
      <c r="B63" s="178" t="s">
        <v>32</v>
      </c>
      <c r="C63" s="180"/>
      <c r="D63" s="80">
        <v>0</v>
      </c>
      <c r="E63" s="113">
        <v>0</v>
      </c>
      <c r="F63" s="56">
        <v>2000</v>
      </c>
      <c r="G63" s="152" t="s">
        <v>138</v>
      </c>
      <c r="H63" s="153"/>
      <c r="I63" s="157"/>
      <c r="O63" s="28">
        <v>0</v>
      </c>
      <c r="P63" s="20">
        <f t="shared" si="3"/>
        <v>2000</v>
      </c>
      <c r="Q63" s="263"/>
    </row>
    <row r="64" spans="1:17" ht="13.8" x14ac:dyDescent="0.25">
      <c r="A64" s="74"/>
      <c r="B64" s="178" t="s">
        <v>31</v>
      </c>
      <c r="C64" s="180"/>
      <c r="D64" s="80">
        <v>0</v>
      </c>
      <c r="E64" s="113">
        <v>0</v>
      </c>
      <c r="F64" s="56">
        <v>1000</v>
      </c>
      <c r="G64" s="152" t="s">
        <v>137</v>
      </c>
      <c r="H64" s="153"/>
      <c r="I64" s="157"/>
      <c r="O64" s="28">
        <v>150</v>
      </c>
      <c r="P64" s="21">
        <f t="shared" si="3"/>
        <v>850</v>
      </c>
      <c r="Q64" s="263"/>
    </row>
    <row r="65" spans="1:19" ht="13.8" x14ac:dyDescent="0.25">
      <c r="A65" s="74"/>
      <c r="B65" s="233" t="s">
        <v>105</v>
      </c>
      <c r="C65" s="234"/>
      <c r="D65" s="80"/>
      <c r="E65" s="113"/>
      <c r="F65" s="56">
        <v>4000</v>
      </c>
      <c r="G65" s="152" t="s">
        <v>136</v>
      </c>
      <c r="H65" s="153"/>
      <c r="I65" s="158"/>
      <c r="O65" s="28">
        <v>4312</v>
      </c>
      <c r="P65" s="21">
        <f t="shared" si="3"/>
        <v>-312</v>
      </c>
      <c r="Q65" s="263"/>
    </row>
    <row r="66" spans="1:19" ht="37.799999999999997" hidden="1" customHeight="1" x14ac:dyDescent="0.25">
      <c r="A66" s="74"/>
      <c r="B66" s="150" t="s">
        <v>99</v>
      </c>
      <c r="C66" s="155"/>
      <c r="D66" s="114"/>
      <c r="E66" s="114"/>
      <c r="F66" s="39"/>
      <c r="G66" s="56"/>
      <c r="H66" s="112"/>
      <c r="I66" s="110"/>
      <c r="O66" s="28">
        <v>12176</v>
      </c>
      <c r="P66" s="20"/>
      <c r="Q66" s="263"/>
    </row>
    <row r="67" spans="1:19" ht="37.799999999999997" hidden="1" customHeight="1" x14ac:dyDescent="0.25">
      <c r="A67" s="74"/>
      <c r="B67" s="150" t="s">
        <v>95</v>
      </c>
      <c r="C67" s="155"/>
      <c r="D67" s="114"/>
      <c r="E67" s="114"/>
      <c r="F67" s="39"/>
      <c r="G67" s="56"/>
      <c r="H67" s="112"/>
      <c r="I67" s="110"/>
      <c r="O67" s="28">
        <f>14572+49784+35103+20945.6</f>
        <v>120404.6</v>
      </c>
      <c r="P67" s="20"/>
      <c r="Q67" s="263"/>
    </row>
    <row r="68" spans="1:19" ht="37.799999999999997" hidden="1" customHeight="1" x14ac:dyDescent="0.25">
      <c r="A68" s="74"/>
      <c r="B68" s="150" t="s">
        <v>96</v>
      </c>
      <c r="C68" s="155"/>
      <c r="D68" s="114"/>
      <c r="E68" s="114"/>
      <c r="F68" s="39"/>
      <c r="G68" s="56"/>
      <c r="H68" s="112"/>
      <c r="I68" s="110"/>
      <c r="O68" s="28">
        <v>1920</v>
      </c>
      <c r="P68" s="20"/>
      <c r="Q68" s="263"/>
    </row>
    <row r="69" spans="1:19" ht="37.799999999999997" hidden="1" customHeight="1" x14ac:dyDescent="0.25">
      <c r="A69" s="74"/>
      <c r="B69" s="150" t="s">
        <v>100</v>
      </c>
      <c r="C69" s="155"/>
      <c r="D69" s="114"/>
      <c r="E69" s="114"/>
      <c r="F69" s="39"/>
      <c r="G69" s="56"/>
      <c r="H69" s="112"/>
      <c r="I69" s="110"/>
      <c r="O69" s="28">
        <v>12800</v>
      </c>
      <c r="P69" s="20"/>
      <c r="Q69" s="263"/>
    </row>
    <row r="70" spans="1:19" ht="37.799999999999997" hidden="1" customHeight="1" x14ac:dyDescent="0.25">
      <c r="A70" s="74"/>
      <c r="B70" s="150" t="s">
        <v>97</v>
      </c>
      <c r="C70" s="155"/>
      <c r="D70" s="114"/>
      <c r="E70" s="114"/>
      <c r="F70" s="39"/>
      <c r="G70" s="56"/>
      <c r="H70" s="112"/>
      <c r="I70" s="110"/>
      <c r="O70" s="28">
        <v>3588</v>
      </c>
      <c r="P70" s="20"/>
      <c r="Q70" s="263"/>
    </row>
    <row r="71" spans="1:19" ht="37.799999999999997" hidden="1" customHeight="1" x14ac:dyDescent="0.25">
      <c r="A71" s="74"/>
      <c r="B71" s="150" t="s">
        <v>98</v>
      </c>
      <c r="C71" s="155"/>
      <c r="D71" s="114"/>
      <c r="E71" s="114"/>
      <c r="F71" s="39"/>
      <c r="G71" s="56"/>
      <c r="H71" s="112"/>
      <c r="I71" s="110"/>
      <c r="O71" s="28">
        <v>1180</v>
      </c>
      <c r="P71" s="20"/>
      <c r="Q71" s="263"/>
    </row>
    <row r="72" spans="1:19" ht="37.799999999999997" hidden="1" customHeight="1" x14ac:dyDescent="0.25">
      <c r="A72" s="74"/>
      <c r="B72" s="150" t="s">
        <v>101</v>
      </c>
      <c r="C72" s="155"/>
      <c r="D72" s="114"/>
      <c r="E72" s="114"/>
      <c r="F72" s="39"/>
      <c r="G72" s="56"/>
      <c r="H72" s="112"/>
      <c r="I72" s="110"/>
      <c r="O72" s="28">
        <v>3300</v>
      </c>
      <c r="P72" s="20"/>
      <c r="Q72" s="263"/>
    </row>
    <row r="73" spans="1:19" ht="37.799999999999997" hidden="1" customHeight="1" x14ac:dyDescent="0.25">
      <c r="A73" s="74"/>
      <c r="B73" s="228" t="s">
        <v>102</v>
      </c>
      <c r="C73" s="229"/>
      <c r="D73" s="114"/>
      <c r="E73" s="114"/>
      <c r="F73" s="39"/>
      <c r="G73" s="56"/>
      <c r="H73" s="112"/>
      <c r="I73" s="110"/>
      <c r="O73" s="28"/>
      <c r="P73" s="20"/>
      <c r="Q73" s="263"/>
    </row>
    <row r="74" spans="1:19" s="31" customFormat="1" ht="13.8" x14ac:dyDescent="0.25">
      <c r="A74" s="151" t="s">
        <v>80</v>
      </c>
      <c r="B74" s="151"/>
      <c r="C74" s="151"/>
      <c r="D74" s="115"/>
      <c r="E74" s="115"/>
      <c r="F74" s="116">
        <f>SUM(F51:F56) + F59</f>
        <v>396800</v>
      </c>
      <c r="G74" s="193"/>
      <c r="H74" s="194"/>
      <c r="I74" s="117"/>
      <c r="O74" s="118">
        <f>O51+O52+O56+O59</f>
        <v>121218.8</v>
      </c>
      <c r="P74" s="119">
        <f>F74-O74</f>
        <v>275581.2</v>
      </c>
      <c r="Q74" s="264"/>
      <c r="R74" s="33"/>
      <c r="S74" s="33"/>
    </row>
    <row r="75" spans="1:19" ht="60" customHeight="1" x14ac:dyDescent="0.25">
      <c r="A75" s="64"/>
      <c r="B75" s="147" t="s">
        <v>143</v>
      </c>
      <c r="C75" s="147"/>
      <c r="D75" s="120"/>
      <c r="E75" s="120"/>
      <c r="F75" s="120"/>
      <c r="G75" s="147"/>
      <c r="H75" s="148"/>
      <c r="I75" s="30" t="s">
        <v>94</v>
      </c>
      <c r="J75" s="120"/>
      <c r="K75" s="120"/>
      <c r="L75" s="120"/>
      <c r="M75" s="120"/>
      <c r="N75" s="120"/>
      <c r="O75" s="32"/>
      <c r="P75" s="26">
        <f>P74</f>
        <v>275581.2</v>
      </c>
      <c r="Q75" s="45" t="s">
        <v>175</v>
      </c>
    </row>
    <row r="76" spans="1:19" ht="42.6" customHeight="1" x14ac:dyDescent="0.25">
      <c r="A76" s="207" t="s">
        <v>148</v>
      </c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9" ht="13.8" x14ac:dyDescent="0.25">
      <c r="C77" s="31" t="s">
        <v>178</v>
      </c>
      <c r="H77" s="31" t="s">
        <v>179</v>
      </c>
      <c r="I77" s="2"/>
    </row>
    <row r="78" spans="1:19" ht="13.8" x14ac:dyDescent="0.25">
      <c r="C78" s="31"/>
      <c r="F78" s="3" t="s">
        <v>146</v>
      </c>
      <c r="I78" s="31"/>
      <c r="L78" s="3" t="s">
        <v>146</v>
      </c>
      <c r="P78" s="6" t="s">
        <v>180</v>
      </c>
    </row>
    <row r="79" spans="1:19" ht="42.6" customHeight="1" x14ac:dyDescent="0.25">
      <c r="B79" s="120" t="s">
        <v>147</v>
      </c>
      <c r="C79" s="121" t="s">
        <v>144</v>
      </c>
      <c r="D79" s="121"/>
      <c r="E79" s="121"/>
      <c r="F79" s="121" t="s">
        <v>145</v>
      </c>
      <c r="H79" s="30" t="s">
        <v>147</v>
      </c>
      <c r="I79" s="55" t="s">
        <v>144</v>
      </c>
      <c r="J79" s="55"/>
      <c r="K79" s="55"/>
      <c r="L79" s="55" t="s">
        <v>145</v>
      </c>
      <c r="M79" s="5"/>
      <c r="N79" s="5"/>
      <c r="O79" s="55" t="s">
        <v>144</v>
      </c>
      <c r="P79" s="55" t="s">
        <v>145</v>
      </c>
    </row>
    <row r="80" spans="1:19" ht="22.2" customHeight="1" x14ac:dyDescent="0.25">
      <c r="B80" s="271">
        <v>1</v>
      </c>
      <c r="C80" s="272" t="s">
        <v>104</v>
      </c>
      <c r="D80" s="273"/>
      <c r="E80" s="271"/>
      <c r="F80" s="274">
        <v>59990</v>
      </c>
      <c r="G80" s="275"/>
      <c r="H80" s="271">
        <v>1</v>
      </c>
      <c r="I80" s="272" t="s">
        <v>104</v>
      </c>
      <c r="J80" s="273"/>
      <c r="K80" s="271"/>
      <c r="L80" s="274">
        <v>59990</v>
      </c>
      <c r="M80" s="275"/>
      <c r="N80" s="275"/>
      <c r="O80" s="129" t="s">
        <v>166</v>
      </c>
      <c r="P80" s="276">
        <v>38280</v>
      </c>
    </row>
    <row r="81" spans="2:16" ht="24" customHeight="1" x14ac:dyDescent="0.25">
      <c r="B81" s="271">
        <v>2</v>
      </c>
      <c r="C81" s="272" t="s">
        <v>106</v>
      </c>
      <c r="D81" s="273"/>
      <c r="E81" s="271"/>
      <c r="F81" s="274">
        <v>7879</v>
      </c>
      <c r="G81" s="275"/>
      <c r="H81" s="271">
        <v>2</v>
      </c>
      <c r="I81" s="272" t="s">
        <v>106</v>
      </c>
      <c r="J81" s="273"/>
      <c r="K81" s="271"/>
      <c r="L81" s="274">
        <v>7879</v>
      </c>
      <c r="M81" s="275"/>
      <c r="N81" s="275"/>
      <c r="O81" s="129" t="s">
        <v>167</v>
      </c>
      <c r="P81" s="276">
        <v>21000</v>
      </c>
    </row>
    <row r="82" spans="2:16" ht="27" customHeight="1" x14ac:dyDescent="0.25">
      <c r="B82" s="271">
        <v>3</v>
      </c>
      <c r="C82" s="277" t="s">
        <v>152</v>
      </c>
      <c r="D82" s="278"/>
      <c r="E82" s="271"/>
      <c r="F82" s="279">
        <v>3588</v>
      </c>
      <c r="G82" s="275"/>
      <c r="H82" s="271">
        <v>3</v>
      </c>
      <c r="I82" s="277" t="s">
        <v>152</v>
      </c>
      <c r="J82" s="278"/>
      <c r="K82" s="271"/>
      <c r="L82" s="279">
        <v>3588</v>
      </c>
      <c r="M82" s="275"/>
      <c r="N82" s="275"/>
      <c r="O82" s="129" t="s">
        <v>170</v>
      </c>
      <c r="P82" s="276">
        <v>3300</v>
      </c>
    </row>
    <row r="83" spans="2:16" ht="25.2" customHeight="1" x14ac:dyDescent="0.25">
      <c r="B83" s="271">
        <v>4</v>
      </c>
      <c r="C83" s="280" t="s">
        <v>153</v>
      </c>
      <c r="D83" s="271"/>
      <c r="E83" s="271"/>
      <c r="F83" s="281">
        <v>6990</v>
      </c>
      <c r="G83" s="275"/>
      <c r="H83" s="282">
        <v>4</v>
      </c>
      <c r="I83" s="283" t="s">
        <v>153</v>
      </c>
      <c r="J83" s="282"/>
      <c r="K83" s="282"/>
      <c r="L83" s="284">
        <v>6990</v>
      </c>
      <c r="M83" s="275"/>
      <c r="N83" s="275"/>
      <c r="O83" s="130" t="s">
        <v>174</v>
      </c>
      <c r="P83" s="285">
        <v>24843</v>
      </c>
    </row>
    <row r="84" spans="2:16" ht="14.4" x14ac:dyDescent="0.3">
      <c r="B84" s="271">
        <v>5</v>
      </c>
      <c r="C84" s="280" t="s">
        <v>172</v>
      </c>
      <c r="D84" s="271"/>
      <c r="E84" s="271"/>
      <c r="F84" s="281">
        <f>5359+4580</f>
        <v>9939</v>
      </c>
      <c r="G84" s="275"/>
      <c r="H84" s="286" t="s">
        <v>154</v>
      </c>
      <c r="I84" s="287"/>
      <c r="J84" s="287"/>
      <c r="K84" s="287"/>
      <c r="L84" s="287"/>
      <c r="M84" s="287"/>
      <c r="N84" s="287"/>
      <c r="O84" s="288"/>
      <c r="P84" s="276">
        <f>SUM(P80:P83)</f>
        <v>87423</v>
      </c>
    </row>
    <row r="85" spans="2:16" ht="13.8" x14ac:dyDescent="0.25">
      <c r="B85" s="271">
        <v>6</v>
      </c>
      <c r="C85" s="280" t="s">
        <v>155</v>
      </c>
      <c r="D85" s="271"/>
      <c r="E85" s="271"/>
      <c r="F85" s="281">
        <v>7028</v>
      </c>
      <c r="G85" s="275"/>
      <c r="H85" s="275"/>
      <c r="I85" s="289" t="s">
        <v>155</v>
      </c>
      <c r="J85" s="275"/>
      <c r="K85" s="275"/>
      <c r="L85" s="290">
        <v>7028</v>
      </c>
      <c r="M85" s="275"/>
      <c r="N85" s="275"/>
      <c r="O85" s="291"/>
      <c r="P85" s="292"/>
    </row>
    <row r="86" spans="2:16" ht="26.4" x14ac:dyDescent="0.25">
      <c r="B86" s="271">
        <v>7</v>
      </c>
      <c r="C86" s="280" t="s">
        <v>173</v>
      </c>
      <c r="D86" s="271"/>
      <c r="E86" s="271"/>
      <c r="F86" s="281">
        <f>1980+521</f>
        <v>2501</v>
      </c>
      <c r="G86" s="275"/>
      <c r="H86" s="275"/>
      <c r="I86" s="289" t="s">
        <v>156</v>
      </c>
      <c r="J86" s="275"/>
      <c r="K86" s="275"/>
      <c r="L86" s="290">
        <v>1980</v>
      </c>
      <c r="M86" s="275"/>
      <c r="N86" s="275"/>
      <c r="O86" s="291"/>
      <c r="P86" s="292"/>
    </row>
    <row r="87" spans="2:16" ht="13.8" x14ac:dyDescent="0.25">
      <c r="B87" s="271">
        <v>8</v>
      </c>
      <c r="C87" s="280" t="s">
        <v>157</v>
      </c>
      <c r="D87" s="271"/>
      <c r="E87" s="271"/>
      <c r="F87" s="281">
        <v>51</v>
      </c>
      <c r="G87" s="275"/>
      <c r="H87" s="275"/>
      <c r="I87" s="289" t="s">
        <v>157</v>
      </c>
      <c r="J87" s="275"/>
      <c r="K87" s="275"/>
      <c r="L87" s="290">
        <v>51</v>
      </c>
      <c r="M87" s="275"/>
      <c r="N87" s="275"/>
      <c r="O87" s="291"/>
      <c r="P87" s="292"/>
    </row>
    <row r="88" spans="2:16" ht="13.8" x14ac:dyDescent="0.25">
      <c r="B88" s="271">
        <v>9</v>
      </c>
      <c r="C88" s="280" t="s">
        <v>158</v>
      </c>
      <c r="D88" s="271"/>
      <c r="E88" s="271"/>
      <c r="F88" s="281">
        <f>154+480+1920+1920</f>
        <v>4474</v>
      </c>
      <c r="G88" s="275"/>
      <c r="H88" s="275"/>
      <c r="I88" s="289" t="s">
        <v>158</v>
      </c>
      <c r="J88" s="275"/>
      <c r="K88" s="275"/>
      <c r="L88" s="290">
        <f>154+480+1920+1920</f>
        <v>4474</v>
      </c>
      <c r="M88" s="275"/>
      <c r="N88" s="275"/>
      <c r="O88" s="291"/>
      <c r="P88" s="292"/>
    </row>
    <row r="89" spans="2:16" ht="13.8" x14ac:dyDescent="0.25">
      <c r="B89" s="271">
        <v>10</v>
      </c>
      <c r="C89" s="280" t="s">
        <v>159</v>
      </c>
      <c r="D89" s="271"/>
      <c r="E89" s="271"/>
      <c r="F89" s="281">
        <v>295</v>
      </c>
      <c r="G89" s="275"/>
      <c r="H89" s="275"/>
      <c r="I89" s="289" t="s">
        <v>159</v>
      </c>
      <c r="J89" s="275"/>
      <c r="K89" s="275"/>
      <c r="L89" s="290">
        <v>295</v>
      </c>
      <c r="M89" s="275"/>
      <c r="N89" s="275"/>
      <c r="O89" s="291"/>
      <c r="P89" s="292"/>
    </row>
    <row r="90" spans="2:16" ht="13.8" x14ac:dyDescent="0.25">
      <c r="B90" s="271">
        <v>11</v>
      </c>
      <c r="C90" s="293" t="s">
        <v>160</v>
      </c>
      <c r="D90" s="271"/>
      <c r="E90" s="271"/>
      <c r="F90" s="281">
        <v>899</v>
      </c>
      <c r="G90" s="275"/>
      <c r="H90" s="275"/>
      <c r="I90" s="289" t="s">
        <v>160</v>
      </c>
      <c r="J90" s="275"/>
      <c r="K90" s="275"/>
      <c r="L90" s="290">
        <v>899</v>
      </c>
      <c r="M90" s="275"/>
      <c r="N90" s="275"/>
      <c r="O90" s="291"/>
      <c r="P90" s="292"/>
    </row>
    <row r="91" spans="2:16" ht="13.8" x14ac:dyDescent="0.25">
      <c r="B91" s="271">
        <v>12</v>
      </c>
      <c r="C91" s="293" t="s">
        <v>162</v>
      </c>
      <c r="D91" s="271"/>
      <c r="E91" s="271"/>
      <c r="F91" s="281">
        <v>490</v>
      </c>
      <c r="G91" s="275"/>
      <c r="H91" s="275"/>
      <c r="I91" s="289" t="s">
        <v>162</v>
      </c>
      <c r="J91" s="275"/>
      <c r="K91" s="275"/>
      <c r="L91" s="290">
        <v>490</v>
      </c>
      <c r="M91" s="275"/>
      <c r="N91" s="275"/>
      <c r="O91" s="291"/>
      <c r="P91" s="292"/>
    </row>
    <row r="92" spans="2:16" ht="13.8" x14ac:dyDescent="0.25">
      <c r="B92" s="271">
        <v>13</v>
      </c>
      <c r="C92" s="293" t="s">
        <v>161</v>
      </c>
      <c r="D92" s="271"/>
      <c r="E92" s="271"/>
      <c r="F92" s="281">
        <v>938</v>
      </c>
      <c r="G92" s="275"/>
      <c r="H92" s="275"/>
      <c r="I92" s="289" t="s">
        <v>161</v>
      </c>
      <c r="J92" s="275"/>
      <c r="K92" s="275"/>
      <c r="L92" s="290">
        <v>938</v>
      </c>
      <c r="M92" s="275"/>
      <c r="N92" s="275"/>
      <c r="O92" s="291"/>
      <c r="P92" s="292"/>
    </row>
    <row r="93" spans="2:16" ht="13.8" x14ac:dyDescent="0.25">
      <c r="B93" s="271">
        <v>14</v>
      </c>
      <c r="C93" s="293" t="s">
        <v>163</v>
      </c>
      <c r="D93" s="271"/>
      <c r="E93" s="271"/>
      <c r="F93" s="281">
        <v>490</v>
      </c>
      <c r="G93" s="275"/>
      <c r="H93" s="275"/>
      <c r="I93" s="289" t="s">
        <v>163</v>
      </c>
      <c r="J93" s="275"/>
      <c r="K93" s="275"/>
      <c r="L93" s="290">
        <v>490</v>
      </c>
      <c r="M93" s="275"/>
      <c r="N93" s="275"/>
      <c r="O93" s="291"/>
      <c r="P93" s="292"/>
    </row>
    <row r="94" spans="2:16" ht="26.4" x14ac:dyDescent="0.25">
      <c r="B94" s="271">
        <v>15</v>
      </c>
      <c r="C94" s="293" t="s">
        <v>171</v>
      </c>
      <c r="D94" s="271"/>
      <c r="E94" s="271"/>
      <c r="F94" s="281">
        <v>8260</v>
      </c>
      <c r="G94" s="275"/>
      <c r="H94" s="275"/>
      <c r="I94" s="289"/>
      <c r="J94" s="275"/>
      <c r="K94" s="275"/>
      <c r="L94" s="290"/>
      <c r="M94" s="275"/>
      <c r="N94" s="275"/>
      <c r="O94" s="291"/>
      <c r="P94" s="292"/>
    </row>
    <row r="95" spans="2:16" ht="13.8" x14ac:dyDescent="0.25">
      <c r="B95" s="271">
        <v>16</v>
      </c>
      <c r="C95" s="293" t="s">
        <v>177</v>
      </c>
      <c r="D95" s="271"/>
      <c r="E95" s="271"/>
      <c r="F95" s="281">
        <f>4100</f>
        <v>4100</v>
      </c>
      <c r="G95" s="275"/>
      <c r="H95" s="275"/>
      <c r="I95" s="289"/>
      <c r="J95" s="275"/>
      <c r="K95" s="275"/>
      <c r="L95" s="290"/>
      <c r="M95" s="275"/>
      <c r="N95" s="275"/>
      <c r="O95" s="291"/>
      <c r="P95" s="292"/>
    </row>
    <row r="96" spans="2:16" ht="13.8" x14ac:dyDescent="0.25">
      <c r="B96" s="271">
        <v>17</v>
      </c>
      <c r="C96" s="293" t="s">
        <v>194</v>
      </c>
      <c r="D96" s="271"/>
      <c r="E96" s="271"/>
      <c r="F96" s="281">
        <v>2810</v>
      </c>
      <c r="G96" s="275"/>
      <c r="H96" s="275"/>
      <c r="I96" s="289"/>
      <c r="J96" s="275"/>
      <c r="K96" s="275"/>
      <c r="L96" s="290"/>
      <c r="M96" s="275"/>
      <c r="N96" s="275"/>
      <c r="O96" s="291"/>
      <c r="P96" s="292"/>
    </row>
    <row r="97" spans="2:16" ht="14.4" x14ac:dyDescent="0.3">
      <c r="B97" s="286" t="s">
        <v>165</v>
      </c>
      <c r="C97" s="288"/>
      <c r="D97" s="271"/>
      <c r="E97" s="271"/>
      <c r="F97" s="281">
        <f>SUM(F80:F94)</f>
        <v>113812</v>
      </c>
      <c r="G97" s="275"/>
      <c r="H97" s="275"/>
      <c r="I97" s="289" t="s">
        <v>165</v>
      </c>
      <c r="J97" s="275"/>
      <c r="K97" s="275"/>
      <c r="L97" s="290">
        <f>SUM(L80:L93)</f>
        <v>95092</v>
      </c>
      <c r="M97" s="275"/>
      <c r="N97" s="275"/>
      <c r="O97" s="291"/>
      <c r="P97" s="123"/>
    </row>
    <row r="98" spans="2:16" ht="42.6" customHeight="1" x14ac:dyDescent="0.25">
      <c r="I98" s="2"/>
    </row>
  </sheetData>
  <sheetProtection algorithmName="SHA-512" hashValue="m5qujgTJTpSYqDa6O2eZgSVPj8j2ZT6XB+q1PnJE5Qh2ZDNJkHi5mMMfwZL8tmd5T/FblL7uJIAeFFpp8yMeUQ==" saltValue="Xmb7EE2xVcZpQ+M1pGKB8Q==" spinCount="100000" sheet="1" formatCells="0" formatColumns="0" formatRows="0" insertColumns="0" insertRows="0" insertHyperlinks="0" deleteColumns="0" deleteRows="0" sort="0" autoFilter="0" pivotTables="0"/>
  <mergeCells count="120">
    <mergeCell ref="B34:C34"/>
    <mergeCell ref="B35:C35"/>
    <mergeCell ref="B38:C38"/>
    <mergeCell ref="B37:C37"/>
    <mergeCell ref="B29:C29"/>
    <mergeCell ref="Q59:Q74"/>
    <mergeCell ref="Q56:Q58"/>
    <mergeCell ref="B61:C61"/>
    <mergeCell ref="G61:H61"/>
    <mergeCell ref="B75:C75"/>
    <mergeCell ref="A76:Q76"/>
    <mergeCell ref="B72:C72"/>
    <mergeCell ref="B73:C73"/>
    <mergeCell ref="B70:C70"/>
    <mergeCell ref="B71:C71"/>
    <mergeCell ref="B66:C66"/>
    <mergeCell ref="B67:C67"/>
    <mergeCell ref="B68:C68"/>
    <mergeCell ref="B64:C64"/>
    <mergeCell ref="B65:C65"/>
    <mergeCell ref="B28:C28"/>
    <mergeCell ref="B19:C19"/>
    <mergeCell ref="B20:C20"/>
    <mergeCell ref="B21:C21"/>
    <mergeCell ref="A30:C30"/>
    <mergeCell ref="B17:C17"/>
    <mergeCell ref="O56:O58"/>
    <mergeCell ref="P56:P58"/>
    <mergeCell ref="C80:D80"/>
    <mergeCell ref="G52:H55"/>
    <mergeCell ref="G56:H58"/>
    <mergeCell ref="O52:O55"/>
    <mergeCell ref="A26:A28"/>
    <mergeCell ref="A46:P46"/>
    <mergeCell ref="B47:C47"/>
    <mergeCell ref="G47:H47"/>
    <mergeCell ref="A45:Q45"/>
    <mergeCell ref="I52:I55"/>
    <mergeCell ref="P52:P55"/>
    <mergeCell ref="Q52:Q55"/>
    <mergeCell ref="B36:C36"/>
    <mergeCell ref="A31:H31"/>
    <mergeCell ref="B32:C32"/>
    <mergeCell ref="B33:C33"/>
    <mergeCell ref="G9:H9"/>
    <mergeCell ref="G8:H8"/>
    <mergeCell ref="G10:H10"/>
    <mergeCell ref="A10:C10"/>
    <mergeCell ref="A7:Q7"/>
    <mergeCell ref="B18:C18"/>
    <mergeCell ref="B16:C16"/>
    <mergeCell ref="B23:C23"/>
    <mergeCell ref="B27:C27"/>
    <mergeCell ref="O13:O14"/>
    <mergeCell ref="P13:P14"/>
    <mergeCell ref="Q13:Q14"/>
    <mergeCell ref="A12:Q12"/>
    <mergeCell ref="A15:I15"/>
    <mergeCell ref="B13:C14"/>
    <mergeCell ref="A13:A14"/>
    <mergeCell ref="I13:I14"/>
    <mergeCell ref="D13:E13"/>
    <mergeCell ref="F13:G13"/>
    <mergeCell ref="A5:P5"/>
    <mergeCell ref="B59:C59"/>
    <mergeCell ref="B60:C60"/>
    <mergeCell ref="B62:C62"/>
    <mergeCell ref="C81:D81"/>
    <mergeCell ref="B63:C63"/>
    <mergeCell ref="B57:C57"/>
    <mergeCell ref="B43:C43"/>
    <mergeCell ref="A25:H25"/>
    <mergeCell ref="B22:C22"/>
    <mergeCell ref="A24:C24"/>
    <mergeCell ref="B26:C26"/>
    <mergeCell ref="A49:I49"/>
    <mergeCell ref="I56:I58"/>
    <mergeCell ref="G50:I50"/>
    <mergeCell ref="B58:C58"/>
    <mergeCell ref="B50:C50"/>
    <mergeCell ref="G74:H74"/>
    <mergeCell ref="G59:H59"/>
    <mergeCell ref="G60:H60"/>
    <mergeCell ref="G62:H62"/>
    <mergeCell ref="G6:H6"/>
    <mergeCell ref="B6:C6"/>
    <mergeCell ref="B9:C9"/>
    <mergeCell ref="B39:C39"/>
    <mergeCell ref="B55:C55"/>
    <mergeCell ref="B40:C40"/>
    <mergeCell ref="G48:I48"/>
    <mergeCell ref="B48:C48"/>
    <mergeCell ref="B56:C56"/>
    <mergeCell ref="G51:H51"/>
    <mergeCell ref="A41:C41"/>
    <mergeCell ref="A56:A58"/>
    <mergeCell ref="H84:O84"/>
    <mergeCell ref="B97:C97"/>
    <mergeCell ref="H13:H14"/>
    <mergeCell ref="F3:I3"/>
    <mergeCell ref="F2:I2"/>
    <mergeCell ref="F1:I1"/>
    <mergeCell ref="A11:P11"/>
    <mergeCell ref="A44:O44"/>
    <mergeCell ref="G75:H75"/>
    <mergeCell ref="I80:J80"/>
    <mergeCell ref="I81:J81"/>
    <mergeCell ref="I82:J82"/>
    <mergeCell ref="A74:C74"/>
    <mergeCell ref="C82:D82"/>
    <mergeCell ref="G63:H63"/>
    <mergeCell ref="B53:C53"/>
    <mergeCell ref="B54:C54"/>
    <mergeCell ref="G64:H64"/>
    <mergeCell ref="G65:H65"/>
    <mergeCell ref="B69:C69"/>
    <mergeCell ref="I59:I65"/>
    <mergeCell ref="B51:C51"/>
    <mergeCell ref="B52:C52"/>
    <mergeCell ref="A42:C42"/>
  </mergeCells>
  <pageMargins left="0.31496062992125984" right="0.31496062992125984" top="0.35433070866141736" bottom="0.35433070866141736" header="0.31496062992125984" footer="0.31496062992125984"/>
  <pageSetup paperSize="9" scale="60" fitToHeight="0" orientation="landscape" verticalDpi="0" r:id="rId1"/>
  <rowBreaks count="1" manualBreakCount="1">
    <brk id="2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Шершон</dc:creator>
  <cp:lastModifiedBy>Любовь Шершон</cp:lastModifiedBy>
  <cp:lastPrinted>2022-11-28T06:35:37Z</cp:lastPrinted>
  <dcterms:created xsi:type="dcterms:W3CDTF">2022-02-21T12:33:56Z</dcterms:created>
  <dcterms:modified xsi:type="dcterms:W3CDTF">2023-03-01T10:45:58Z</dcterms:modified>
</cp:coreProperties>
</file>